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G:\Shared drives\CLRE Health Team\Projects\2019\HCFA\Master spreadsheet 2022\"/>
    </mc:Choice>
  </mc:AlternateContent>
  <xr:revisionPtr revIDLastSave="0" documentId="13_ncr:1_{84A3E4C3-EC21-40A9-84E2-224C6CE313A4}" xr6:coauthVersionLast="36" xr6:coauthVersionMax="47" xr10:uidLastSave="{00000000-0000-0000-0000-000000000000}"/>
  <bookViews>
    <workbookView xWindow="28680" yWindow="1170" windowWidth="20730" windowHeight="11040" xr2:uid="{00000000-000D-0000-FFFF-FFFF00000000}"/>
  </bookViews>
  <sheets>
    <sheet name="UF_Scenario_Key" sheetId="40" r:id="rId1"/>
    <sheet name="Output_1" sheetId="5" r:id="rId2"/>
    <sheet name="Output_2" sheetId="22" r:id="rId3"/>
    <sheet name="Output_3" sheetId="13" r:id="rId4"/>
    <sheet name="Output_4" sheetId="46" r:id="rId5"/>
    <sheet name="Baseline" sheetId="1" r:id="rId6"/>
    <sheet name="UF_Assumptions_1" sheetId="2" r:id="rId7"/>
    <sheet name="UF_Assumptions_2" sheetId="4" r:id="rId8"/>
    <sheet name="UF_Assumptions_3" sheetId="41" r:id="rId9"/>
    <sheet name="UF_Assumptions_4" sheetId="42" r:id="rId10"/>
    <sheet name="UF_Calculations_1" sheetId="6" r:id="rId11"/>
    <sheet name="UF_Calculations_2" sheetId="27" r:id="rId12"/>
    <sheet name="UF_Calculations_3" sheetId="35" r:id="rId13"/>
    <sheet name="UF_Calculations_4" sheetId="36" r:id="rId14"/>
    <sheet name="UF_Calculations_5" sheetId="37" r:id="rId15"/>
    <sheet name="UF_Calculations_6" sheetId="38" r:id="rId16"/>
    <sheet name="UF_Calculations_7" sheetId="43" r:id="rId17"/>
    <sheet name="UF_Calculations_8" sheetId="49" r:id="rId18"/>
    <sheet name="UF_Calculations_9" sheetId="51" r:id="rId19"/>
    <sheet name="UF_Calculations_10" sheetId="50" r:id="rId20"/>
    <sheet name="Input_Medi-Cal" sheetId="12" r:id="rId21"/>
    <sheet name="Input_ESI premiums" sheetId="45" r:id="rId22"/>
    <sheet name="Input_GDP" sheetId="17" r:id="rId23"/>
    <sheet name="Input_CMS_1" sheetId="10" r:id="rId24"/>
    <sheet name="Input_CMS_2" sheetId="11" r:id="rId25"/>
    <sheet name="Input_CMS_3" sheetId="9" r:id="rId26"/>
    <sheet name="Input_CMS_4" sheetId="7" r:id="rId27"/>
    <sheet name="Input_CMS_5" sheetId="8" r:id="rId28"/>
    <sheet name="Input_CMS_6" sheetId="16" r:id="rId29"/>
    <sheet name="Input_FTB_Corporate" sheetId="52" r:id="rId30"/>
    <sheet name="Input_FTB_Personal_Income" sheetId="53" r:id="rId31"/>
    <sheet name="Input_Economic_Census" sheetId="54"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I">#REF!</definedName>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1_">#REF!</definedName>
    <definedName name="_2_">#REF!</definedName>
    <definedName name="_8_99_Schedule_2">#REF!</definedName>
    <definedName name="_CCC1">#REF!</definedName>
    <definedName name="_CCC10">#REF!</definedName>
    <definedName name="_CCC2">#REF!</definedName>
    <definedName name="_CCC3">#REF!</definedName>
    <definedName name="_CCC4">#REF!</definedName>
    <definedName name="_CCC5">#REF!</definedName>
    <definedName name="_CCC6">#REF!</definedName>
    <definedName name="_CCC7">#REF!</definedName>
    <definedName name="_CCC8">#REF!</definedName>
    <definedName name="_CCC9">#REF!</definedName>
    <definedName name="_CMD">#REF!</definedName>
    <definedName name="_CMD5">#REF!</definedName>
    <definedName name="_Dist_Bin" hidden="1">#REF!</definedName>
    <definedName name="_Dist_Values" hidden="1">#REF!</definedName>
    <definedName name="_Fill" hidden="1">#REF!</definedName>
    <definedName name="_Key1" hidden="1">#REF!</definedName>
    <definedName name="_Key2" hidden="1">#REF!</definedName>
    <definedName name="_NSA1">#REF!</definedName>
    <definedName name="_NSA10">#REF!</definedName>
    <definedName name="_NSA2">#REF!</definedName>
    <definedName name="_NSA3">#REF!</definedName>
    <definedName name="_NSA4">#REF!</definedName>
    <definedName name="_NSA5">#REF!</definedName>
    <definedName name="_NSA6">#REF!</definedName>
    <definedName name="_NSA7">#REF!</definedName>
    <definedName name="_NSA8">#REF!</definedName>
    <definedName name="_NSA9">#REF!</definedName>
    <definedName name="_Order1" hidden="1">0</definedName>
    <definedName name="_Order2" hidden="1">0</definedName>
    <definedName name="_OUTPUT" localSheetId="26">#REF!</definedName>
    <definedName name="_OUTPUT">#REF!</definedName>
    <definedName name="_OUTPUT5">#REF!</definedName>
    <definedName name="_Regression_Int" hidden="1">1</definedName>
    <definedName name="_Sort" hidden="1">#REF!</definedName>
    <definedName name="a" hidden="1">{#N/A,#N/A,TRUE,"EPSDT 0304 PROP MTHD";#N/A,#N/A,TRUE,"EPSDT 0304 CRNT METH";#N/A,#N/A,TRUE,"%DIFPROCURACT";#N/A,#N/A,TRUE,"9899CLMCOMP";#N/A,#N/A,TRUE,"9900CLMCOMP";#N/A,#N/A,TRUE,"0001CLMCOMP";#N/A,#N/A,TRUE,"EPSDT GRAPH";#N/A,#N/A,TRUE,"Step 1 Growth";#N/A,#N/A,TRUE,"Step 2 Cost Settlement";#N/A,#N/A,TRUE,"Step 3 Baseline";#N/A,#N/A,TRUE,"Step 4 - 10% Share";#N/A,#N/A,TRUE,"Step 6 CostSmry";#N/A,#N/A,TRUE,"0203 STEP4 UPDATE"}</definedName>
    <definedName name="aaa">#N/A</definedName>
    <definedName name="ABC">#REF!</definedName>
    <definedName name="ACwvu.Hist." hidden="1">[2]Quarters!$F$1:$M$48</definedName>
    <definedName name="ACwvu.OthrCalQtr_AnlChg." hidden="1">#REF!</definedName>
    <definedName name="ACwvu.PerIncQtr_AnlChg." hidden="1">#REF!</definedName>
    <definedName name="ACwvu.Qrtrly." hidden="1">[2]Quarters!#REF!</definedName>
    <definedName name="ACwvu.SelCalQtr_AnlChg." hidden="1">#REF!</definedName>
    <definedName name="ACwvu.SelectUSQtr_AnnlChg." hidden="1">#REF!</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'[3]BCP Upload Template Blank'!#REF!</definedName>
    <definedName name="Affidavit" hidden="1">{"Page 1",#N/A,FALSE,"Admin ";"Page 2",#N/A,FALSE,"Admin ";"Page 3",#N/A,FALSE,"Admin "}</definedName>
    <definedName name="agmc6">'[4]Page 1'!#REF!</definedName>
    <definedName name="AidCode_1516">[5]Lookup!$C$5:$D$175</definedName>
    <definedName name="AJ" hidden="1">{"Portrait",#N/A,FALSE,"Summary";"Landscape",#N/A,FALSE,"Summary"}</definedName>
    <definedName name="AJC" hidden="1">{"Portrait",#N/A,FALSE,"Summary";"Landscape",#N/A,FALSE,"Summary"}</definedName>
    <definedName name="Alameda">#REF!</definedName>
    <definedName name="All_funds_are_displayed_in_Accrual_based_accounting_format">#REF!</definedName>
    <definedName name="ALPINE">#REF!</definedName>
    <definedName name="AMADOR">#REF!</definedName>
    <definedName name="Annual_Grant_Costs">'[6]05-06'!$G$4</definedName>
    <definedName name="asdf" hidden="1">[2]Quarters!#REF!</definedName>
    <definedName name="Assembly">'[7]Stwd 296 Jul05'!#REF!</definedName>
    <definedName name="b" hidden="1">{#N/A,#N/A,TRUE,"23 CY 11";#N/A,#N/A,TRUE,"34 FY 11";#N/A,#N/A,TRUE,"34 FRCST 11";#N/A,#N/A,TRUE,"34 PD CLMS 11";#N/A,#N/A,TRUE,"34 GRPH 11"}</definedName>
    <definedName name="Basic_Cost">#REF!</definedName>
    <definedName name="brittney" hidden="1">{"Portrait",#N/A,FALSE,"Summary";"Landscape",#N/A,FALSE,"Summary"}</definedName>
    <definedName name="BUTTE">#REF!</definedName>
    <definedName name="BY_FF">#REF!</definedName>
    <definedName name="BY_GF">#REF!</definedName>
    <definedName name="BY_Table_Entry">#REF!</definedName>
    <definedName name="CALAVERAS">#REF!</definedName>
    <definedName name="cases">#REF!</definedName>
    <definedName name="CCC_BASE_92">#REF!</definedName>
    <definedName name="CCC_BASE_93">#REF!</definedName>
    <definedName name="CCC_BASE_94">#REF!</definedName>
    <definedName name="ce">#REF!</definedName>
    <definedName name="cell_1">#REF!</definedName>
    <definedName name="center">#REF!,#REF!,#REF!,#REF!</definedName>
    <definedName name="Center5">#REF!,#REF!,#REF!,#REF!</definedName>
    <definedName name="CM">#REF!</definedName>
    <definedName name="CODB">#REF!</definedName>
    <definedName name="COLUSA">#REF!</definedName>
    <definedName name="CONTRACOSTA">#REF!</definedName>
    <definedName name="CoPay_IP">#REF!</definedName>
    <definedName name="CoPay_Other">#REF!</definedName>
    <definedName name="CoPay_Rx">#REF!</definedName>
    <definedName name="CoPay_XrayRad">#REF!</definedName>
    <definedName name="counties">#REF!</definedName>
    <definedName name="County">'[6]05-06A(217.02)'!$J$160</definedName>
    <definedName name="CountyList">'[8]Stwd 296 Jul05'!#REF!</definedName>
    <definedName name="Cut">#REF!</definedName>
    <definedName name="Cwvu.Annual." hidden="1">[2]Quarters!#REF!,[2]Quarters!$78:$79</definedName>
    <definedName name="Cwvu.Hist." hidden="1">[2]Quarters!#REF!,[2]Quarters!$78:$79</definedName>
    <definedName name="Cwvu.Qrtrly." hidden="1">[2]Quarters!#REF!,[2]Quarters!$78:$79</definedName>
    <definedName name="CY_Table_Entry">#REF!</definedName>
    <definedName name="CY14_Dental_Rates">'[9]Dental Rates'!$A$23:$E$34</definedName>
    <definedName name="CY15_Dental_Rates">'[10]Dental Rates'!$A$40:$F$48</definedName>
    <definedName name="d" hidden="1">{#N/A,#N/A,TRUE,"A5";#N/A,#N/A,TRUE,"B5";#N/A,#N/A,TRUE,"C5";#N/A,#N/A,TRUE,"D5";#N/A,#N/A,TRUE,"BC5"}</definedName>
    <definedName name="_xlnm.Database">[11]Data!$A$9:$K$943</definedName>
    <definedName name="Database_MI">#REF!</definedName>
    <definedName name="DC_COA">'[12]Data Calc- COA'!#REF!</definedName>
    <definedName name="DC_COS">#REF!</definedName>
    <definedName name="DELNORTE">#REF!</definedName>
    <definedName name="Delta_Elig">'[9]DMC_Elig Data'!#REF!</definedName>
    <definedName name="DFA">'[3]BCP Upload Template Blank'!#REF!</definedName>
    <definedName name="dsd" hidden="1">{#N/A,#N/A,TRUE,"%DIFF0304";#N/A,#N/A,TRUE,"9899CLMS";#N/A,#N/A,TRUE,"9900CLMS";#N/A,#N/A,TRUE,"0001CLMS"}</definedName>
    <definedName name="dss" hidden="1">#REF!</definedName>
    <definedName name="Edits">#REF!</definedName>
    <definedName name="ELDORADO">#REF!</definedName>
    <definedName name="Errors">'[13]Month 3-Data'!$AX$1:$BK$61</definedName>
    <definedName name="Estimate" hidden="1">{"Page 1",#N/A,FALSE,"Admin ";"Page 2",#N/A,FALSE,"Admin ";"Page 3",#N/A,FALSE,"Admin "}</definedName>
    <definedName name="EWW">'[3]BCP Upload Template Blank'!#REF!</definedName>
    <definedName name="EXHIBIT3TO16">#REF!</definedName>
    <definedName name="_xlnm.Extract">#REF!</definedName>
    <definedName name="Extract_MI">#REF!</definedName>
    <definedName name="FD">'[3]BCP Upload Template Blank'!#REF!</definedName>
    <definedName name="FDF">'[3]BCP Upload Template Blank'!#REF!</definedName>
    <definedName name="Federal">'[6]05-06A(217.02)'!$H$160</definedName>
    <definedName name="form">#REF!</definedName>
    <definedName name="FR">#REF!</definedName>
    <definedName name="FRESNO">#REF!</definedName>
    <definedName name="FRPMRevised">#REF!</definedName>
    <definedName name="FRPMRevisedWGradeOffrd">#REF!</definedName>
    <definedName name="gfbd">'[14]Page 1'!#REF!</definedName>
    <definedName name="GFEE">'[3]BCP Upload Template Blank'!#REF!</definedName>
    <definedName name="gffds" hidden="1">#REF!</definedName>
    <definedName name="GLENN">#REF!</definedName>
    <definedName name="hh" hidden="1">{#N/A,#N/A,TRUE,"A11";#N/A,#N/A,TRUE,"B11";#N/A,#N/A,TRUE,"C11";#N/A,#N/A,TRUE,"D11";#N/A,#N/A,TRUE,"FED11";#N/A,#N/A,TRUE,"BC11";#N/A,#N/A,TRUE,"TBSREC 11"}</definedName>
    <definedName name="HUMBOLDT">#REF!</definedName>
    <definedName name="IMPERIAL">#REF!</definedName>
    <definedName name="Indent1">#REF!,#REF!,#REF!,#REF!</definedName>
    <definedName name="Indent2">#REF!,#REF!,#REF!,#REF!,#REF!,#REF!,#REF!,#REF!,#REF!,#REF!</definedName>
    <definedName name="Indent3">#REF!,#REF!,#REF!,#REF!,#REF!,#REF!,#REF!,#REF!,#REF!,#REF!,#REF!,#REF!,#REF!,#REF!,#REF!</definedName>
    <definedName name="Indent4">#REF!,#REF!,#REF!,#REF!</definedName>
    <definedName name="INYO">#REF!</definedName>
    <definedName name="jg" hidden="1">#REF!</definedName>
    <definedName name="ji" hidden="1">#REF!</definedName>
    <definedName name="Job_Class">[15]!Table11[Job Class]</definedName>
    <definedName name="July_Total">'[6]06-07A(217.02)'!$C$159</definedName>
    <definedName name="K12_1">#REF!</definedName>
    <definedName name="K12_10">#REF!</definedName>
    <definedName name="K12_2">#REF!</definedName>
    <definedName name="K12_3">#REF!</definedName>
    <definedName name="K12_4">#REF!</definedName>
    <definedName name="K12_5">#REF!</definedName>
    <definedName name="K12_6">#REF!</definedName>
    <definedName name="K12_7">#REF!</definedName>
    <definedName name="K12_8">#REF!</definedName>
    <definedName name="K12_9">#REF!</definedName>
    <definedName name="KERN">#REF!</definedName>
    <definedName name="KINGS">#REF!</definedName>
    <definedName name="l" hidden="1">#REF!</definedName>
    <definedName name="LAKE">#REF!</definedName>
    <definedName name="LASSEN">#REF!</definedName>
    <definedName name="licneses">'[16]Report Form'!$N$18</definedName>
    <definedName name="Lookup_Entity">[15]!Table1[Entity]</definedName>
    <definedName name="Lookup_ENY">'[3]BCP Upload Template Blank'!#REF!</definedName>
    <definedName name="Lookup_Exp_NonAdd">[17]!Table13[Exp_NonAdd (Incl 623, 624)]</definedName>
    <definedName name="Lookup_ExpCategory">'[18]Dimension Lookup'!$H$2:$H$3</definedName>
    <definedName name="Lookup_Fund">'[3]BCP Upload Template Blank'!#REF!</definedName>
    <definedName name="Lookup_Program">'[3]BCP Upload Template Blank'!#REF!</definedName>
    <definedName name="Lookup_Reference">'[3]BCP Upload Template Blank'!#REF!</definedName>
    <definedName name="Lookup_Reimbursements">'[3]BCP Upload Template Blank'!#REF!</definedName>
    <definedName name="Lookup_RequestbyCategory">'[3]BCP Upload Template Blank'!#REF!</definedName>
    <definedName name="Lookup_Revenue">[15]!Table8[4 Revenues(Excluding Reimbursement)]</definedName>
    <definedName name="LOSANGELES">#REF!</definedName>
    <definedName name="MACRO">#REF!</definedName>
    <definedName name="Macro10">#N/A</definedName>
    <definedName name="macro11">#N/A</definedName>
    <definedName name="macro14">#N/A</definedName>
    <definedName name="Macro4">#N/A</definedName>
    <definedName name="Macro5">#N/A</definedName>
    <definedName name="Macro6">#N/A</definedName>
    <definedName name="MADERA">#REF!</definedName>
    <definedName name="MARIN">#REF!</definedName>
    <definedName name="MARIPOSA">#REF!</definedName>
    <definedName name="May_17_Final">#REF!</definedName>
    <definedName name="MENDOCINO">#REF!</definedName>
    <definedName name="MERCED">#REF!</definedName>
    <definedName name="MODOC">#REF!</definedName>
    <definedName name="MONO">#REF!</definedName>
    <definedName name="MONTEREY">#REF!</definedName>
    <definedName name="MONTH">'[8]Stwd 296 Jul05'!#REF!</definedName>
    <definedName name="MS_CHART2">#REF!</definedName>
    <definedName name="MS_CHART3">#REF!</definedName>
    <definedName name="NAPA">#REF!</definedName>
    <definedName name="NEVADA">#REF!</definedName>
    <definedName name="new_name" hidden="1">{#N/A,#N/A,TRUE,"23AL";#N/A,#N/A,TRUE,"23WH";#N/A,#N/A,TRUE,"23IP"}</definedName>
    <definedName name="new_name2" hidden="1">{#N/A,#N/A,TRUE,"Attachment 1";#N/A,#N/A,TRUE,"Attachment 3";#N/A,#N/A,TRUE,"Attachment 4";#N/A,#N/A,TRUE,"Attachment 5";#N/A,#N/A,TRUE,"Attachment 6"}</definedName>
    <definedName name="NHETAB5" localSheetId="26">#REF!</definedName>
    <definedName name="NHETAB5" localSheetId="20">#REF!</definedName>
    <definedName name="NHETAB5">#REF!</definedName>
    <definedName name="nnn" hidden="1">{"Page 1",#N/A,FALSE,"Admin ";"Page 2",#N/A,FALSE,"Admin ";"Page 3",#N/A,FALSE,"Admin "}</definedName>
    <definedName name="no">#REF!</definedName>
    <definedName name="ONE">#REF!</definedName>
    <definedName name="ORANGE">#REF!</definedName>
    <definedName name="P98_ADA_88_CH">#REF!</definedName>
    <definedName name="P98_ADA_88_D">#REF!</definedName>
    <definedName name="P98_ADA_89_CH">#REF!</definedName>
    <definedName name="P98_ADA_89_D">#REF!</definedName>
    <definedName name="P98_ADA_90_CH">#REF!</definedName>
    <definedName name="P98_ADA_90_D">#REF!</definedName>
    <definedName name="P98_ADA_91_CH">#REF!</definedName>
    <definedName name="P98_ADA_91_D">#REF!</definedName>
    <definedName name="P98_ADA_92_CH">#REF!</definedName>
    <definedName name="P98_ADA_92_D">#REF!</definedName>
    <definedName name="P98_ADA_92_T">#REF!</definedName>
    <definedName name="P98_ADA_93_CH">#REF!</definedName>
    <definedName name="P98_ADA_93_D">#REF!</definedName>
    <definedName name="P98_ADA_94_CH">#REF!</definedName>
    <definedName name="P98_ADA_94_D">#REF!</definedName>
    <definedName name="P98_ADA_95_CH">#REF!</definedName>
    <definedName name="P98_ADA_95_D">#REF!</definedName>
    <definedName name="P98_CLR_87">#REF!</definedName>
    <definedName name="P98_CLR_88">#REF!</definedName>
    <definedName name="P98_CLR_89">#REF!</definedName>
    <definedName name="P98_CLR_90">#REF!</definedName>
    <definedName name="P98_CLR_91">#REF!</definedName>
    <definedName name="P98_CLR_92">#REF!</definedName>
    <definedName name="P98_CLR_93">#REF!</definedName>
    <definedName name="P98_CLR_94">#REF!</definedName>
    <definedName name="P98_DLR_89">#REF!</definedName>
    <definedName name="P98_DLR_90">#REF!</definedName>
    <definedName name="P98_DLR_91">#REF!</definedName>
    <definedName name="P98_DLR_92">#REF!</definedName>
    <definedName name="P98_DLR_93">#REF!</definedName>
    <definedName name="P98_DLR_94">#REF!</definedName>
    <definedName name="page\x2dtotal">#REF!</definedName>
    <definedName name="page\x2dtotal\x2dmaster0">#REF!</definedName>
    <definedName name="PERSON90">#REF!</definedName>
    <definedName name="PERSON905">#REF!</definedName>
    <definedName name="persons">#REF!</definedName>
    <definedName name="PLACER">#REF!</definedName>
    <definedName name="Plan_County">[9]Lookup!$C$6:$F$11</definedName>
    <definedName name="plancntygrpscores">#REF!</definedName>
    <definedName name="PLUMAS">#REF!</definedName>
    <definedName name="PostionSummaryCat_List">[15]!Table10[Position Summary]</definedName>
    <definedName name="_xlnm.Print_Area" localSheetId="23">Input_CMS_1!$A$1:$X$33</definedName>
    <definedName name="_xlnm.Print_Area" localSheetId="25">Input_CMS_3!$A$1:$K$198</definedName>
    <definedName name="_xlnm.Print_Area" localSheetId="26">Input_CMS_4!$A$1:$X$100</definedName>
    <definedName name="_xlnm.Print_Area">#REF!</definedName>
    <definedName name="PRINT_AREA_MI" localSheetId="26">#REF!</definedName>
    <definedName name="PRINT_AREA_MI" localSheetId="20">#REF!</definedName>
    <definedName name="PRINT_AREA_MI">#REF!</definedName>
    <definedName name="PRINT_AREA_MI5">#REF!</definedName>
    <definedName name="_xlnm.Print_Titles">#REF!</definedName>
    <definedName name="PRINT_TITLES_MI">#REF!</definedName>
    <definedName name="Print10">#REF!</definedName>
    <definedName name="Print11">#REF!</definedName>
    <definedName name="Print12">#REF!</definedName>
    <definedName name="Print13">#REF!</definedName>
    <definedName name="Print15">#REF!</definedName>
    <definedName name="Print4">#REF!</definedName>
    <definedName name="Print5">#REF!</definedName>
    <definedName name="Print6">#REF!</definedName>
    <definedName name="Print7">#REF!</definedName>
    <definedName name="Print8">#REF!</definedName>
    <definedName name="Print9">#REF!</definedName>
    <definedName name="PRINTIT">#REF!</definedName>
    <definedName name="PRINTMS">#REF!</definedName>
    <definedName name="PY" hidden="1">#REF!</definedName>
    <definedName name="q_L_monthly_final">#REF!</definedName>
    <definedName name="qedqaed">#REF!</definedName>
    <definedName name="QEQ">'[3]BCP Upload Template Blank'!#REF!</definedName>
    <definedName name="qrtlyrept" hidden="1">{"Page 1",#N/A,FALSE,"Admin ";"Page 2",#N/A,FALSE,"Admin ";"Page 3",#N/A,FALSE,"Admin "}</definedName>
    <definedName name="qrtlyrept_1" hidden="1">{"Page 1",#N/A,FALSE,"Admin ";"Page 2",#N/A,FALSE,"Admin ";"Page 3",#N/A,FALSE,"Admin "}</definedName>
    <definedName name="qry_contract_exp_realign">#REF!</definedName>
    <definedName name="Query_3">#REF!</definedName>
    <definedName name="QUERY6996">#REF!</definedName>
    <definedName name="range">#REF!</definedName>
    <definedName name="rangex">#REF!</definedName>
    <definedName name="Rate_Date">[9]Lookup!$I$6:$L$59</definedName>
    <definedName name="Rate_Date_2">[10]Lookup!$J$6:$L$47</definedName>
    <definedName name="Right">#REF!,#REF!,#REF!,#REF!,#REF!,#REF!,#REF!</definedName>
    <definedName name="Right6">#REF!,#REF!,#REF!</definedName>
    <definedName name="RIVERSIDE">#REF!</definedName>
    <definedName name="round">#REF!</definedName>
    <definedName name="RRR">'[3]BCP Upload Template Blank'!#REF!</definedName>
    <definedName name="Rwvu.Annual." hidden="1">[2]Quarters!#REF!</definedName>
    <definedName name="Rwvu.Hist." hidden="1">[2]Quarters!#REF!</definedName>
    <definedName name="Rwvu.Qrtrly." hidden="1">[2]Quarters!#REF!</definedName>
    <definedName name="Ryan">'[14]Page 1'!#REF!</definedName>
    <definedName name="SACRAMENTO">#REF!</definedName>
    <definedName name="SANBENITO">#REF!</definedName>
    <definedName name="SANBERNARDINO">#REF!</definedName>
    <definedName name="SANDIEGO">#REF!</definedName>
    <definedName name="SANFRANCISCO">#REF!</definedName>
    <definedName name="SANJOAQUIN">#REF!</definedName>
    <definedName name="SANLUISOBISPO">#REF!</definedName>
    <definedName name="SANMATEO">#REF!</definedName>
    <definedName name="SANTABARBARA">#REF!</definedName>
    <definedName name="SANTACLARA">#REF!</definedName>
    <definedName name="SANTACRUZ">#REF!</definedName>
    <definedName name="SAVEIT">#REF!</definedName>
    <definedName name="sdfg" hidden="1">{#N/A,#N/A,TRUE,"EPSDT 0304 NEWMTHD";#N/A,#N/A,TRUE,"EPSDT 0304 STD METH"}</definedName>
    <definedName name="sdfsdf">#REF!</definedName>
    <definedName name="sdfsdfs">#REF!</definedName>
    <definedName name="sdsd">#REF!</definedName>
    <definedName name="Semiannual" hidden="1">{"Page 1",#N/A,FALSE,"Admin ";"Page 2",#N/A,FALSE,"Admin ";"Page 3",#N/A,FALSE,"Admin "}</definedName>
    <definedName name="Semiannual_1" hidden="1">{"Page 1",#N/A,FALSE,"Admin ";"Page 2",#N/A,FALSE,"Admin ";"Page 3",#N/A,FALSE,"Admin "}</definedName>
    <definedName name="SHASTA">#REF!</definedName>
    <definedName name="SHIFT92_IN_93">#REF!</definedName>
    <definedName name="SHIFT92_IN_94">#REF!</definedName>
    <definedName name="SHIFT93_IN_93">#REF!</definedName>
    <definedName name="SHIFT93_IN_94">#REF!</definedName>
    <definedName name="SIERRA">#REF!</definedName>
    <definedName name="SISKIYOU">#REF!</definedName>
    <definedName name="Snet" hidden="1">{"Page 1",#N/A,FALSE,"Admin ";"Page 2",#N/A,FALSE,"Admin ";"Page 3",#N/A,FALSE,"Admin "}</definedName>
    <definedName name="SOLANO">#REF!</definedName>
    <definedName name="SONOMA">#REF!</definedName>
    <definedName name="sortkey">'[19]VLOOKUP CODES'!$A$2:$A$11</definedName>
    <definedName name="SSS">'[3]BCP Upload Template Blank'!#REF!</definedName>
    <definedName name="STANISLAUS">#REF!</definedName>
    <definedName name="State">'[6]05-06A(217.02)'!$I$160</definedName>
    <definedName name="summary" hidden="1">{"Portrait",#N/A,FALSE,"Summary";"Landscape",#N/A,FALSE,"Summary"}</definedName>
    <definedName name="SUTTER">#REF!</definedName>
    <definedName name="Swvu.Hist." hidden="1">[2]Quarters!$F$1:$M$48</definedName>
    <definedName name="Swvu.OthrCalQtr_AnlChg." hidden="1">#REF!</definedName>
    <definedName name="Swvu.PerIncQtr_AnlChg." hidden="1">#REF!</definedName>
    <definedName name="Swvu.Qrtrly." hidden="1">[2]Quarters!#REF!</definedName>
    <definedName name="Swvu.SelCalQtr_AnlChg." hidden="1">#REF!</definedName>
    <definedName name="Swvu.SelectUSQtr_AnnlChg." hidden="1">#REF!</definedName>
    <definedName name="table_list">'[20]Label VLOOKUP'!$A$2:$A$15</definedName>
    <definedName name="TABLE1">#REF!</definedName>
    <definedName name="TEHAMA">#REF!</definedName>
    <definedName name="THREE">#REF!</definedName>
    <definedName name="TOT_SHIFT_92">#REF!</definedName>
    <definedName name="Total">'[6]05-06A(217.02)'!$G$160</definedName>
    <definedName name="TRINITY">#REF!</definedName>
    <definedName name="TULARE">#REF!</definedName>
    <definedName name="TUOLUMNE">#REF!</definedName>
    <definedName name="TWO">#REF!</definedName>
    <definedName name="ujhk" hidden="1">{#N/A,#N/A,TRUE,"23 CY 11";#N/A,#N/A,TRUE,"34 FY 11";#N/A,#N/A,TRUE,"34 SMSR ADJ 11"}</definedName>
    <definedName name="unlicensed">'[16]Report Form'!$N$25</definedName>
    <definedName name="value">'[16]Report Form'!$N$13</definedName>
    <definedName name="VENTURA">#REF!</definedName>
    <definedName name="Vicky" hidden="1">{"Portrait",#N/A,FALSE,"Summary";"Landscape",#N/A,FALSE,"Summary"}</definedName>
    <definedName name="we">#REF!</definedName>
    <definedName name="WEA">'[3]BCP Upload Template Blank'!#REF!</definedName>
    <definedName name="wef">#REF!</definedName>
    <definedName name="wer" hidden="1">{"Table3",#N/A,FALSE,"C";"Table2",#N/A,FALSE,"C";"Table1",#N/A,FALSE,"C"}</definedName>
    <definedName name="WERWE">'[3]BCP Upload Template Blank'!#REF!</definedName>
    <definedName name="WEW">'[3]BCP Upload Template Blank'!#REF!</definedName>
    <definedName name="wrn.0203._.ALLOCATION." hidden="1">{#N/A,#N/A,TRUE,"23AL";#N/A,#N/A,TRUE,"23WH";#N/A,#N/A,TRUE,"23IP"}</definedName>
    <definedName name="wrn.0203._.EPSDT._.INITIAL._.DISTRIBUTION." hidden="1">{#N/A,#N/A,TRUE,"Attachment 1";#N/A,#N/A,TRUE,"Attachment 3";#N/A,#N/A,TRUE,"Attachment 4";#N/A,#N/A,TRUE,"Attachment 5";#N/A,#N/A,TRUE,"Attachment 6"}</definedName>
    <definedName name="wrn.0304._.ALLOCATION." hidden="1">{#N/A,#N/A,TRUE,"34AL";#N/A,#N/A,TRUE,"34WH";#N/A,#N/A,TRUE,"34IP"}</definedName>
    <definedName name="wrn.0304._.EPSDT._.COMP." hidden="1">{#N/A,#N/A,TRUE,"%DIFF0304";#N/A,#N/A,TRUE,"9899CLMS";#N/A,#N/A,TRUE,"9900CLMS";#N/A,#N/A,TRUE,"0001CLMS"}</definedName>
    <definedName name="wrn.0304._.EPSDT._.NOV." hidden="1">{#N/A,#N/A,TRUE,"SUMMARY";#N/A,#N/A,TRUE,"PROPOSED";#N/A,#N/A,TRUE,"CURRENT";#N/A,#N/A,TRUE,"EPSDT GRAPH";#N/A,#N/A,TRUE,"%DIFF";#N/A,#N/A,TRUE,"9899COMP";#N/A,#N/A,TRUE,"9900COMP";#N/A,#N/A,TRUE,"0001COMP";#N/A,#N/A,TRUE,"STEP1";#N/A,#N/A,TRUE,"STEP2";#N/A,#N/A,TRUE,"STEP3";#N/A,#N/A,TRUE,"STEP4A";#N/A,#N/A,TRUE,"STEP4B"}</definedName>
    <definedName name="wrn.0304._.EPSDT._.NOV._.EST." hidden="1">{#N/A,#N/A,TRUE,"EPSDT 0304 PROP MTHD";#N/A,#N/A,TRUE,"EPSDT 0304 CRNT METH";#N/A,#N/A,TRUE,"%DIFPROCURACT";#N/A,#N/A,TRUE,"9899CLMCOMP";#N/A,#N/A,TRUE,"9900CLMCOMP";#N/A,#N/A,TRUE,"0001CLMCOMP";#N/A,#N/A,TRUE,"EPSDT GRAPH";#N/A,#N/A,TRUE,"Step 1 Growth";#N/A,#N/A,TRUE,"Step 2 Cost Settlement";#N/A,#N/A,TRUE,"Step 3 Baseline";#N/A,#N/A,TRUE,"Step 4 - 10% Share";#N/A,#N/A,TRUE,"Step 6 CostSmry";#N/A,#N/A,TRUE,"0203 STEP4 UPDATE"}</definedName>
    <definedName name="wrn.0304._.HFP._.NOV._.EST." hidden="1">{#N/A,#N/A,TRUE,"23 CY 11";#N/A,#N/A,TRUE,"34 FY 11";#N/A,#N/A,TRUE,"34 FRCST 11";#N/A,#N/A,TRUE,"34 PD CLMS 11";#N/A,#N/A,TRUE,"34 GRPH 11"}</definedName>
    <definedName name="wrn.0304._.MAY." hidden="1">{#N/A,#N/A,TRUE,"A5";#N/A,#N/A,TRUE,"B5";#N/A,#N/A,TRUE,"C5";#N/A,#N/A,TRUE,"D5";#N/A,#N/A,TRUE,"BC5"}</definedName>
    <definedName name="wrn.0304._.NOV." hidden="1">{#N/A,#N/A,TRUE,"A11";#N/A,#N/A,TRUE,"B11";#N/A,#N/A,TRUE,"C11";#N/A,#N/A,TRUE,"D11";#N/A,#N/A,TRUE,"FED11";#N/A,#N/A,TRUE,"BC11";#N/A,#N/A,TRUE,"TBSREC 11"}</definedName>
    <definedName name="wrn.0304._.SANMATEO._.NOV." hidden="1">{#N/A,#N/A,TRUE,"23 CY 11";#N/A,#N/A,TRUE,"34 FY 11";#N/A,#N/A,TRUE,"34 SMSR ADJ 11"}</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hidden="1">{"Page 1",#N/A,FALSE,"Admin ";"Page 2",#N/A,FALSE,"Admin ";"Page 3",#N/A,FALSE,"Admin "}</definedName>
    <definedName name="wrn.AB._.510a._1" hidden="1">{"Page 1",#N/A,FALSE,"Admin ";"Page 2",#N/A,FALSE,"Admin ";"Page 3",#N/A,FALSE,"Admin "}</definedName>
    <definedName name="wrn.Adults._.Childrens." hidden="1">{"Adult Agenda",#N/A,FALSE,"Adult Briefing";"Child Brief",#N/A,FALSE,"Childrens Briefing"}</definedName>
    <definedName name="wrn.Childrens." hidden="1">{"Child - CY",#N/A,TRUE,"Childrens Briefing";"Child - BY",#N/A,TRUE,"Childrens Briefing"}</definedName>
    <definedName name="wrn.Conference." hidden="1">{"CONF BY TO MAY BY",#N/A,TRUE,"Core Table";"CONF BY TO MAY BY TANF",#N/A,TRUE,"TANF Table"}</definedName>
    <definedName name="wrn.CWCF._.Agenda." hidden="1">{"CWCF Agenda",#N/A,FALSE,"CW-CF Agenda"}</definedName>
    <definedName name="wrn.EligibleTables." hidden="1">{"Table3",#N/A,FALSE,"C";"Table2",#N/A,FALSE,"C";"Table1",#N/A,FALSE,"C"}</definedName>
    <definedName name="wrn.EPSDT._.COUNTY." hidden="1">{#N/A,#N/A,TRUE,"EPSDT 0304 NEWMTHD";#N/A,#N/A,TRUE,"EPSDT 0304 STD METH"}</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llReport." hidden="1">{"Annual",#N/A,FALSE,"Long Run";"SelectUSQtr_AnnlChg",#N/A,FALSE,"Long Run";"SelCalQtr_AnlChg",#N/A,FALSE,"Long Run";"PerIncQtr_AnlChg",#N/A,FALSE,"Long Run";"OthrCalQtr_AnlChg",#N/A,FALSE,"Long Run"}</definedName>
    <definedName name="wrn.Funding._.Summaries." hidden="1">{#N/A,#N/A,FALSE,"CY_GF";#N/A,#N/A,FALSE,"CY_FF";#N/A,#N/A,FALSE,"CY_NM_GF";#N/A,#N/A,FALSE,"CY_NM_FF";#N/A,#N/A,FALSE,"BY_GF";#N/A,#N/A,FALSE,"BY_FF";#N/A,#N/A,FALSE,"CO_ADMIN"}</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Management._.Summaries." hidden="1">{#N/A,#N/A,FALSE,"App_M01";#N/A,#N/A,FALSE,"CY_N00_M01";#N/A,#N/A,FALSE,"BY_N00_M01"}</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6." hidden="1">{"MAY CY TO APP",#N/A,TRUE,"Core Table";"TANF MAY CY TO APP",#N/A,TRUE,"TANF Table";"MAY CY TO NOV CY",#N/A,TRUE,"Core Table";"TANF MAY CY TO NOV CY",#N/A,TRUE,"TANF Table";"MAY BY TO MAY CY",#N/A,TRUE,"Core Table";"TANF MAY BY TO MAY CY",#N/A,TRUE,"TANF Table";"MAY BY TO NOV BY",#N/A,TRUE,"Core Table";"TANF MAY BY TO NOV BY",#N/A,TRUE,"TANF Table"}</definedName>
    <definedName name="wrn.NOV04." hidden="1">{"NOV TO APP",#N/A,TRUE,"Core Table";"NOV TO APP TANF",#N/A,TRUE,"TANF Table";"GB TO APP",#N/A,TRUE,"Core Table";"GB TO APP TANF",#N/A,TRUE,"TANF Table";"GB TO NOV",#N/A,TRUE,"Core Table";"GB TO NOV TANF",#N/A,TRUE,"TANF Table"}</definedName>
    <definedName name="wrn.Shauna." hidden="1">{"Portrait",#N/A,FALSE,"Summary";"Landscape",#N/A,FALSE,"Summary"}</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vu.Hist." hidden="1">{TRUE,TRUE,-2.75,-17,604.5,345.75,FALSE,TRUE,TRUE,TRUE,0,1,#N/A,23,#N/A,23.452380952381,25.9375,1,FALSE,FALSE,3,TRUE,1,FALSE,75,"Swvu.Hist.","ACwvu.Hist.",#N/A,FALSE,FALSE,0.25,0.25,1,1,2,"&amp;L&amp;""Arial Rounded MT Bold,Bold""LABOR FORCE AND EMPLOYMENT&amp;C&amp;""Arial Rounded MT Bold,Bold"" 1999-2000 MAY REVISION FORECAST
April 1999&amp;R&amp;""Arial Rounded MT Bold,Bold""CALIFORNIA DEPARTMENT OF FINANCE","",TRUE,FALSE,FALSE,FALSE,2,100,#N/A,#N/A,"=R1C1:R36C21","=C1:C5","Rwvu.Hist.","Cwvu.Hist.",FALSE,FALSE,FALSE,1,#N/A,#N/A,FALSE,FALSE,TRUE,TRUE,TRUE}</definedName>
    <definedName name="wvu.OthrCalQtr_AnlChg." hidden="1">{TRUE,TRUE,-2.75,-17,604.5,345.75,FALSE,FALSE,TRUE,TRUE,0,1,37,1,55,1,14,4,TRUE,TRUE,3,TRUE,1,TRUE,75,"Swvu.OthrCalQtr_AnlChg.","ACwvu.OthrCalQtr_AnlChg.",#N/A,FALSE,FALSE,0.32,0.5,0.66,0.5,2,"&amp;C&amp;""Arial Rounded MT Bold,Bold"" 1999-2000 
BUDGET FORECAST
November, 1998&amp;R&amp;""Arial Rounded MT Bold,Bold""CALIFORNIA DEPARTMENT OF  FINANCE ","",FALSE,FALSE,FALSE,FALSE,2,100,#N/A,#N/A,"=R58C37:R228C47","=C1,R10:R14",#N/A,#N/A,FALSE,FALSE,TRUE,1,#N/A,#N/A,FALSE,FALSE,TRUE,TRUE,TRUE}</definedName>
    <definedName name="wvu.PerIncQtr_AnlChg." hidden="1">{TRUE,TRUE,-2.75,-17,604.5,345.75,FALSE,FALSE,TRUE,TRUE,0,1,23,1,217,1,14,4,TRUE,TRUE,3,TRUE,1,TRUE,75,"Swvu.PerIncQtr_AnlChg.","ACwvu.PerIncQtr_AnlChg.",#N/A,FALSE,FALSE,0.32,0.5,0.66,0.5,2,"&amp;C&amp;""Arial Rounded MT Bold,Bold"" 1999-2000 
BUDGET FORECAST
November, 1998&amp;R&amp;""Arial Rounded MT Bold,Bold""CALIFORNIA DEPARTMENT OF  FINANCE ","",FALSE,FALSE,FALSE,FALSE,2,100,#N/A,#N/A,"=R58C24:R228C36","=C1,R10:R14",#N/A,#N/A,FALSE,FALSE,TRUE,1,#N/A,#N/A,FALSE,FALSE,TRUE,TRUE,TRUE}</definedName>
    <definedName name="wvu.Qrtrly." hidden="1">{TRUE,TRUE,-2.75,-17,604.5,345.75,FALSE,TRUE,TRUE,TRUE,0,19,#N/A,1,#N/A,17.9642857142857,28.9375,1,FALSE,FALSE,3,TRUE,1,FALSE,75,"Swvu.Qrtrly.","ACwvu.Qrtrly.",#N/A,FALSE,FALSE,0.25,0.25,1,1,2,"&amp;L&amp;""Arial Rounded MT Bold,Bold""LABOR FORCE AND EMPLOYMENT&amp;C&amp;""Arial Rounded MT Bold,Bold"" 1999-2000 MAY REVISION FORECAST
April 1999&amp;R&amp;""Arial Rounded MT Bold,Bold""CALIFORNIA DEPARTMENT OF FINANCE","",TRUE,FALSE,FALSE,FALSE,2,100,#N/A,#N/A,"=R1C22:R36C33","=C1:C5","Rwvu.Qrtrly.","Cwvu.Qrtrly.",FALSE,FALSE,FALSE,1,#N/A,#N/A,FALSE,FALSE,TRUE,TRUE,TRUE}</definedName>
    <definedName name="wvu.SelCalQtr_AnlChg." hidden="1">{TRUE,TRUE,-2.75,-17,604.5,345.75,FALSE,FALSE,TRUE,TRUE,0,1,12,1,40,1,14,4,TRUE,TRUE,3,TRUE,1,TRUE,75,"Swvu.SelCalQtr_AnlChg.","ACwvu.SelCalQtr_AnlChg.",#N/A,FALSE,FALSE,0.32,0.5,0.66,0.5,2,"&amp;C&amp;""Arial Rounded MT Bold,Bold"" 1999-2000 
BUDGET FORECAST
November, 1998&amp;R&amp;""Arial Rounded MT Bold,Bold""CALIFORNIA DEPARTMENT OF  FINANCE ","",FALSE,FALSE,FALSE,FALSE,2,100,#N/A,#N/A,"=R58C14:R228C23","=C1,R10:R14",#N/A,#N/A,FALSE,FALSE,TRUE,1,#N/A,#N/A,FALSE,FALSE,TRUE,TRUE,TRUE}</definedName>
    <definedName name="wvu.SelectUSQtr_AnnlChg." hidden="1">{TRUE,TRUE,-2.75,-17,604.5,345.75,FALSE,FALSE,TRUE,TRUE,0,1,2,1,212,1,14,4,TRUE,TRUE,3,TRUE,1,TRUE,75,"Swvu.SelectUSQtr_AnnlChg.","ACwvu.SelectUSQtr_AnnlChg.",#N/A,FALSE,FALSE,0.32,0.5,0.66,0.5,2,"&amp;C&amp;""Arial Rounded MT Bold,Bold"" 1999-2000 
BUDGET FORECAST
November, 1998&amp;R&amp;""Arial Rounded MT Bold,Bold""CALIFORNIA DEPARTMENT OF  FINANCE ","",FALSE,FALSE,FALSE,FALSE,2,100,#N/A,#N/A,"=R58C2:R228C13","=C1,R10:R14",#N/A,#N/A,FALSE,FALSE,TRUE,1,#N/A,#N/A,FALSE,FALSE,TRUE,TRUE,TRUE}</definedName>
    <definedName name="x" hidden="1">{#N/A,#N/A,TRUE,"34AL";#N/A,#N/A,TRUE,"34WH";#N/A,#N/A,TRUE,"34IP"}</definedName>
    <definedName name="y" hidden="1">{#N/A,#N/A,TRUE,"%DIFF0304";#N/A,#N/A,TRUE,"9899CLMS";#N/A,#N/A,TRUE,"9900CLMS";#N/A,#N/A,TRUE,"0001CLMS"}</definedName>
    <definedName name="YEAR">'[8]Stwd 296 Jul05'!#REF!</definedName>
    <definedName name="YOLO">#REF!</definedName>
    <definedName name="YUBA">#REF!</definedName>
    <definedName name="z" hidden="1">{#N/A,#N/A,TRUE,"SUMMARY";#N/A,#N/A,TRUE,"PROPOSED";#N/A,#N/A,TRUE,"CURRENT";#N/A,#N/A,TRUE,"EPSDT GRAPH";#N/A,#N/A,TRUE,"%DIFF";#N/A,#N/A,TRUE,"9899COMP";#N/A,#N/A,TRUE,"9900COMP";#N/A,#N/A,TRUE,"0001COMP";#N/A,#N/A,TRUE,"STEP1";#N/A,#N/A,TRUE,"STEP2";#N/A,#N/A,TRUE,"STEP3";#N/A,#N/A,TRUE,"STEP4A";#N/A,#N/A,TRUE,"STEP4B"}</definedName>
    <definedName name="Z_1BE16F68_9D44_11D3_8909_0000834298E4_.wvu.PrintArea" hidden="1">#REF!</definedName>
    <definedName name="Z_1BE16F68_9D44_11D3_8909_0000834298E4_.wvu.PrintTitles" hidden="1">#REF!,#REF!</definedName>
    <definedName name="Z_1BE16F69_9D44_11D3_8909_0000834298E4_.wvu.PrintArea" hidden="1">#REF!</definedName>
    <definedName name="Z_1BE16F69_9D44_11D3_8909_0000834298E4_.wvu.PrintTitles" hidden="1">#REF!,#REF!</definedName>
    <definedName name="Z_1BE16F6A_9D44_11D3_8909_0000834298E4_.wvu.PrintArea" hidden="1">#REF!</definedName>
    <definedName name="Z_1BE16F6A_9D44_11D3_8909_0000834298E4_.wvu.PrintTitles" hidden="1">#REF!,#REF!</definedName>
    <definedName name="Z_1BE16F6B_9D44_11D3_8909_0000834298E4_.wvu.PrintArea" hidden="1">#REF!</definedName>
    <definedName name="Z_1BE16F6B_9D44_11D3_8909_0000834298E4_.wvu.PrintTitles" hidden="1">#REF!,#REF!</definedName>
    <definedName name="Z_1BE16F6C_9D44_11D3_8909_0000834298E4_.wvu.PrintArea" hidden="1">#REF!</definedName>
    <definedName name="Z_1BE16F6C_9D44_11D3_8909_0000834298E4_.wvu.PrintTitles" hidden="1">#REF!,#REF!</definedName>
    <definedName name="Z_1D36A23A_A1C1_11D3_890B_0000834298E4_.wvu.PrintArea" hidden="1">#REF!</definedName>
    <definedName name="Z_1D36A23A_A1C1_11D3_890B_0000834298E4_.wvu.PrintTitles" hidden="1">#REF!,#REF!</definedName>
    <definedName name="Z_1D36A23B_A1C1_11D3_890B_0000834298E4_.wvu.PrintArea" hidden="1">#REF!</definedName>
    <definedName name="Z_1D36A23B_A1C1_11D3_890B_0000834298E4_.wvu.PrintTitles" hidden="1">#REF!,#REF!</definedName>
    <definedName name="Z_1D36A23C_A1C1_11D3_890B_0000834298E4_.wvu.PrintArea" hidden="1">#REF!</definedName>
    <definedName name="Z_1D36A23C_A1C1_11D3_890B_0000834298E4_.wvu.PrintTitles" hidden="1">#REF!,#REF!</definedName>
    <definedName name="Z_1D36A23D_A1C1_11D3_890B_0000834298E4_.wvu.PrintArea" hidden="1">#REF!</definedName>
    <definedName name="Z_1D36A23D_A1C1_11D3_890B_0000834298E4_.wvu.PrintTitles" hidden="1">#REF!,#REF!</definedName>
    <definedName name="Z_1D36A23E_A1C1_11D3_890B_0000834298E4_.wvu.PrintArea" hidden="1">#REF!</definedName>
    <definedName name="Z_1D36A23E_A1C1_11D3_890B_0000834298E4_.wvu.PrintTitles" hidden="1">#REF!,#REF!</definedName>
    <definedName name="Z_1F455A30_7293_11D3_8901_0000834298E4_.wvu.PrintArea" hidden="1">#REF!</definedName>
    <definedName name="Z_1F455A30_7293_11D3_8901_0000834298E4_.wvu.PrintTitles" hidden="1">#REF!,#REF!</definedName>
    <definedName name="Z_1F455A31_7293_11D3_8901_0000834298E4_.wvu.PrintArea" hidden="1">#REF!</definedName>
    <definedName name="Z_1F455A31_7293_11D3_8901_0000834298E4_.wvu.PrintTitles" hidden="1">#REF!,#REF!</definedName>
    <definedName name="Z_1F455A32_7293_11D3_8901_0000834298E4_.wvu.PrintArea" hidden="1">#REF!</definedName>
    <definedName name="Z_1F455A32_7293_11D3_8901_0000834298E4_.wvu.PrintTitles" hidden="1">#REF!,#REF!</definedName>
    <definedName name="Z_1F455A33_7293_11D3_8901_0000834298E4_.wvu.PrintArea" hidden="1">#REF!</definedName>
    <definedName name="Z_1F455A33_7293_11D3_8901_0000834298E4_.wvu.PrintTitles" hidden="1">#REF!,#REF!</definedName>
    <definedName name="Z_1F455A34_7293_11D3_8901_0000834298E4_.wvu.PrintArea" hidden="1">#REF!</definedName>
    <definedName name="Z_1F455A34_7293_11D3_8901_0000834298E4_.wvu.PrintTitles" hidden="1">#REF!,#REF!</definedName>
    <definedName name="Z_1F455B2A_7293_11D3_8901_0000834298E4_.wvu.PrintArea" hidden="1">#REF!</definedName>
    <definedName name="Z_1F455B2A_7293_11D3_8901_0000834298E4_.wvu.PrintTitles" hidden="1">#REF!,#REF!</definedName>
    <definedName name="Z_1F455B2B_7293_11D3_8901_0000834298E4_.wvu.PrintArea" hidden="1">#REF!</definedName>
    <definedName name="Z_1F455B2B_7293_11D3_8901_0000834298E4_.wvu.PrintTitles" hidden="1">#REF!,#REF!</definedName>
    <definedName name="Z_1F455B2C_7293_11D3_8901_0000834298E4_.wvu.PrintArea" hidden="1">#REF!</definedName>
    <definedName name="Z_1F455B2C_7293_11D3_8901_0000834298E4_.wvu.PrintTitles" hidden="1">#REF!,#REF!</definedName>
    <definedName name="Z_1F455B2D_7293_11D3_8901_0000834298E4_.wvu.PrintArea" hidden="1">#REF!</definedName>
    <definedName name="Z_1F455B2D_7293_11D3_8901_0000834298E4_.wvu.PrintTitles" hidden="1">#REF!,#REF!</definedName>
    <definedName name="Z_1F455B2E_7293_11D3_8901_0000834298E4_.wvu.PrintArea" hidden="1">#REF!</definedName>
    <definedName name="Z_1F455B2E_7293_11D3_8901_0000834298E4_.wvu.PrintTitles" hidden="1">#REF!,#REF!</definedName>
    <definedName name="Z_1F455C7F_7293_11D3_8901_0000834298E4_.wvu.PrintArea" hidden="1">#REF!</definedName>
    <definedName name="Z_1F455C7F_7293_11D3_8901_0000834298E4_.wvu.PrintTitles" hidden="1">#REF!,#REF!</definedName>
    <definedName name="Z_1F455C80_7293_11D3_8901_0000834298E4_.wvu.PrintArea" hidden="1">#REF!</definedName>
    <definedName name="Z_1F455C80_7293_11D3_8901_0000834298E4_.wvu.PrintTitles" hidden="1">#REF!,#REF!</definedName>
    <definedName name="Z_1F455C81_7293_11D3_8901_0000834298E4_.wvu.PrintArea" hidden="1">#REF!</definedName>
    <definedName name="Z_1F455C81_7293_11D3_8901_0000834298E4_.wvu.PrintTitles" hidden="1">#REF!,#REF!</definedName>
    <definedName name="Z_1F455C82_7293_11D3_8901_0000834298E4_.wvu.PrintArea" hidden="1">#REF!</definedName>
    <definedName name="Z_1F455C82_7293_11D3_8901_0000834298E4_.wvu.PrintTitles" hidden="1">#REF!,#REF!</definedName>
    <definedName name="Z_1F455C83_7293_11D3_8901_0000834298E4_.wvu.PrintArea" hidden="1">#REF!</definedName>
    <definedName name="Z_1F455C83_7293_11D3_8901_0000834298E4_.wvu.PrintTitles" hidden="1">#REF!,#REF!</definedName>
    <definedName name="Z_1F455D42_7293_11D3_8901_0000834298E4_.wvu.PrintArea" hidden="1">#REF!</definedName>
    <definedName name="Z_1F455D42_7293_11D3_8901_0000834298E4_.wvu.PrintTitles" hidden="1">#REF!,#REF!</definedName>
    <definedName name="Z_1F455D43_7293_11D3_8901_0000834298E4_.wvu.PrintArea" hidden="1">#REF!</definedName>
    <definedName name="Z_1F455D43_7293_11D3_8901_0000834298E4_.wvu.PrintTitles" hidden="1">#REF!,#REF!</definedName>
    <definedName name="Z_1F455D44_7293_11D3_8901_0000834298E4_.wvu.PrintArea" hidden="1">#REF!</definedName>
    <definedName name="Z_1F455D44_7293_11D3_8901_0000834298E4_.wvu.PrintTitles" hidden="1">#REF!,#REF!</definedName>
    <definedName name="Z_1F455D45_7293_11D3_8901_0000834298E4_.wvu.PrintArea" hidden="1">#REF!</definedName>
    <definedName name="Z_1F455D45_7293_11D3_8901_0000834298E4_.wvu.PrintTitles" hidden="1">#REF!,#REF!</definedName>
    <definedName name="Z_1F455D46_7293_11D3_8901_0000834298E4_.wvu.PrintArea" hidden="1">#REF!</definedName>
    <definedName name="Z_1F455D46_7293_11D3_8901_0000834298E4_.wvu.PrintTitles" hidden="1">#REF!,#REF!</definedName>
    <definedName name="Z_20CC9B39_69FE_11D3_88F7_0000834298E4_.wvu.Cols" hidden="1">[2]Quarters!$F:$M</definedName>
    <definedName name="Z_20CC9B39_69FE_11D3_88F7_0000834298E4_.wvu.PrintArea" hidden="1">[2]Quarters!$F$53:$R$85</definedName>
    <definedName name="Z_20CC9B39_69FE_11D3_88F7_0000834298E4_.wvu.PrintTitles" hidden="1">[2]Quarters!#REF!</definedName>
    <definedName name="Z_20CC9B39_69FE_11D3_88F7_0000834298E4_.wvu.Rows" hidden="1">[2]Quarters!$33:$33</definedName>
    <definedName name="Z_20CC9B3B_69FE_11D3_88F7_0000834298E4_.wvu.Cols" hidden="1">[2]Quarters!$F:$M</definedName>
    <definedName name="Z_20CC9B3B_69FE_11D3_88F7_0000834298E4_.wvu.PrintArea" hidden="1">[2]Quarters!$F$1:$Q$52</definedName>
    <definedName name="Z_20CC9B3B_69FE_11D3_88F7_0000834298E4_.wvu.PrintTitles" hidden="1">[2]Quarters!#REF!</definedName>
    <definedName name="Z_20CC9B3B_69FE_11D3_88F7_0000834298E4_.wvu.Rows" hidden="1">[2]Quarters!$33:$33</definedName>
    <definedName name="Z_20CC9B3D_69FE_11D3_88F7_0000834298E4_.wvu.Cols" hidden="1">[2]Quarters!$F:$M</definedName>
    <definedName name="Z_20CC9B3D_69FE_11D3_88F7_0000834298E4_.wvu.PrintArea" hidden="1">[2]Quarters!$R$1:$AC$50</definedName>
    <definedName name="Z_20CC9B3D_69FE_11D3_88F7_0000834298E4_.wvu.PrintTitles" hidden="1">[2]Quarters!#REF!</definedName>
    <definedName name="Z_20CC9B3D_69FE_11D3_88F7_0000834298E4_.wvu.Rows" hidden="1">[2]Quarters!$33:$33</definedName>
    <definedName name="Z_20CC9BCC_69FE_11D3_88F7_0000834298E4_.wvu.Cols" hidden="1">[2]Quarters!$F:$M</definedName>
    <definedName name="Z_20CC9BCC_69FE_11D3_88F7_0000834298E4_.wvu.PrintArea" hidden="1">[2]Quarters!$F$53:$R$85</definedName>
    <definedName name="Z_20CC9BCC_69FE_11D3_88F7_0000834298E4_.wvu.PrintTitles" hidden="1">[2]Quarters!#REF!</definedName>
    <definedName name="Z_20CC9BCC_69FE_11D3_88F7_0000834298E4_.wvu.Rows" hidden="1">[2]Quarters!$33:$33</definedName>
    <definedName name="Z_20CC9BCE_69FE_11D3_88F7_0000834298E4_.wvu.Cols" hidden="1">[2]Quarters!$F:$M</definedName>
    <definedName name="Z_20CC9BCE_69FE_11D3_88F7_0000834298E4_.wvu.PrintArea" hidden="1">[2]Quarters!$F$1:$Q$52</definedName>
    <definedName name="Z_20CC9BCE_69FE_11D3_88F7_0000834298E4_.wvu.PrintTitles" hidden="1">[2]Quarters!#REF!</definedName>
    <definedName name="Z_20CC9BCE_69FE_11D3_88F7_0000834298E4_.wvu.Rows" hidden="1">[2]Quarters!$33:$33</definedName>
    <definedName name="Z_20CC9C23_69FE_11D3_88F7_0000834298E4_.wvu.Cols" hidden="1">[2]Quarters!$F:$M</definedName>
    <definedName name="Z_31BD4071_6607_11D3_88F3_0000834298E4_.wvu.Cols" hidden="1">[2]Quarters!$F:$M</definedName>
    <definedName name="Z_31BD4071_6607_11D3_88F3_0000834298E4_.wvu.PrintArea" hidden="1">[2]Quarters!$F$53:$R$85</definedName>
    <definedName name="Z_31BD4071_6607_11D3_88F3_0000834298E4_.wvu.PrintTitles" hidden="1">[2]Quarters!#REF!</definedName>
    <definedName name="Z_31BD4071_6607_11D3_88F3_0000834298E4_.wvu.Rows" hidden="1">[2]Quarters!$33:$33</definedName>
    <definedName name="Z_31BD4073_6607_11D3_88F3_0000834298E4_.wvu.Cols" hidden="1">[2]Quarters!$F:$M</definedName>
    <definedName name="Z_31BD4073_6607_11D3_88F3_0000834298E4_.wvu.PrintArea" hidden="1">[2]Quarters!$F$1:$Q$52</definedName>
    <definedName name="Z_31BD4073_6607_11D3_88F3_0000834298E4_.wvu.PrintTitles" hidden="1">[2]Quarters!#REF!</definedName>
    <definedName name="Z_31BD4073_6607_11D3_88F3_0000834298E4_.wvu.Rows" hidden="1">[2]Quarters!$33:$33</definedName>
    <definedName name="Z_31BD4075_6607_11D3_88F3_0000834298E4_.wvu.Cols" hidden="1">[2]Quarters!$F:$M</definedName>
    <definedName name="Z_31BD4075_6607_11D3_88F3_0000834298E4_.wvu.PrintArea" hidden="1">[2]Quarters!$R$1:$AC$50</definedName>
    <definedName name="Z_31BD4075_6607_11D3_88F3_0000834298E4_.wvu.PrintTitles" hidden="1">[2]Quarters!#REF!</definedName>
    <definedName name="Z_31BD4075_6607_11D3_88F3_0000834298E4_.wvu.Rows" hidden="1">[2]Quarters!$33:$33</definedName>
    <definedName name="Z_31BD40E5_6607_11D3_88F3_0000834298E4_.wvu.PrintArea" hidden="1">#REF!</definedName>
    <definedName name="Z_31BD40E5_6607_11D3_88F3_0000834298E4_.wvu.PrintTitles" hidden="1">#REF!,#REF!</definedName>
    <definedName name="Z_31BD40E6_6607_11D3_88F3_0000834298E4_.wvu.PrintArea" hidden="1">#REF!</definedName>
    <definedName name="Z_31BD40E6_6607_11D3_88F3_0000834298E4_.wvu.PrintTitles" hidden="1">#REF!,#REF!</definedName>
    <definedName name="Z_31BD40E7_6607_11D3_88F3_0000834298E4_.wvu.PrintArea" hidden="1">#REF!</definedName>
    <definedName name="Z_31BD40E7_6607_11D3_88F3_0000834298E4_.wvu.PrintTitles" hidden="1">#REF!,#REF!</definedName>
    <definedName name="Z_31BD40E8_6607_11D3_88F3_0000834298E4_.wvu.PrintArea" hidden="1">#REF!</definedName>
    <definedName name="Z_31BD40E8_6607_11D3_88F3_0000834298E4_.wvu.PrintTitles" hidden="1">#REF!,#REF!</definedName>
    <definedName name="Z_31BD40E9_6607_11D3_88F3_0000834298E4_.wvu.PrintArea" hidden="1">#REF!</definedName>
    <definedName name="Z_31BD40E9_6607_11D3_88F3_0000834298E4_.wvu.PrintTitles" hidden="1">#REF!,#REF!</definedName>
    <definedName name="Z_31BD4177_6607_11D3_88F3_0000834298E4_.wvu.Cols" hidden="1">[2]Quarters!$F:$M</definedName>
    <definedName name="Z_31BD4177_6607_11D3_88F3_0000834298E4_.wvu.PrintArea" hidden="1">[2]Quarters!$F$53:$R$85</definedName>
    <definedName name="Z_31BD4177_6607_11D3_88F3_0000834298E4_.wvu.PrintTitles" hidden="1">[2]Quarters!#REF!</definedName>
    <definedName name="Z_31BD4177_6607_11D3_88F3_0000834298E4_.wvu.Rows" hidden="1">[2]Quarters!$33:$33</definedName>
    <definedName name="Z_31BD4179_6607_11D3_88F3_0000834298E4_.wvu.Cols" hidden="1">[2]Quarters!$F:$M</definedName>
    <definedName name="Z_31BD4179_6607_11D3_88F3_0000834298E4_.wvu.PrintArea" hidden="1">[2]Quarters!$F$1:$Q$52</definedName>
    <definedName name="Z_31BD4179_6607_11D3_88F3_0000834298E4_.wvu.PrintTitles" hidden="1">[2]Quarters!#REF!</definedName>
    <definedName name="Z_31BD4179_6607_11D3_88F3_0000834298E4_.wvu.Rows" hidden="1">[2]Quarters!$33:$33</definedName>
    <definedName name="Z_31BD417B_6607_11D3_88F3_0000834298E4_.wvu.Cols" hidden="1">[2]Quarters!$F:$M</definedName>
    <definedName name="Z_31BD417B_6607_11D3_88F3_0000834298E4_.wvu.PrintArea" hidden="1">[2]Quarters!$R$1:$AC$50</definedName>
    <definedName name="Z_31BD417B_6607_11D3_88F3_0000834298E4_.wvu.PrintTitles" hidden="1">[2]Quarters!#REF!</definedName>
    <definedName name="Z_31BD417B_6607_11D3_88F3_0000834298E4_.wvu.Rows" hidden="1">[2]Quarters!$33:$33</definedName>
    <definedName name="Z_31C0CC66_A0FA_11D3_890A_0000834298E4_.wvu.PrintArea" hidden="1">#REF!</definedName>
    <definedName name="Z_31C0CC66_A0FA_11D3_890A_0000834298E4_.wvu.PrintTitles" hidden="1">#REF!,#REF!</definedName>
    <definedName name="Z_31C0CC67_A0FA_11D3_890A_0000834298E4_.wvu.PrintArea" hidden="1">#REF!</definedName>
    <definedName name="Z_31C0CC67_A0FA_11D3_890A_0000834298E4_.wvu.PrintTitles" hidden="1">#REF!,#REF!</definedName>
    <definedName name="Z_31C0CC68_A0FA_11D3_890A_0000834298E4_.wvu.PrintArea" hidden="1">#REF!</definedName>
    <definedName name="Z_31C0CC68_A0FA_11D3_890A_0000834298E4_.wvu.PrintTitles" hidden="1">#REF!,#REF!</definedName>
    <definedName name="Z_31C0CC69_A0FA_11D3_890A_0000834298E4_.wvu.PrintArea" hidden="1">#REF!</definedName>
    <definedName name="Z_31C0CC69_A0FA_11D3_890A_0000834298E4_.wvu.PrintTitles" hidden="1">#REF!,#REF!</definedName>
    <definedName name="Z_31C0CC6A_A0FA_11D3_890A_0000834298E4_.wvu.PrintArea" hidden="1">#REF!</definedName>
    <definedName name="Z_31C0CC6A_A0FA_11D3_890A_0000834298E4_.wvu.PrintTitles" hidden="1">#REF!,#REF!</definedName>
    <definedName name="Z_33E04360_9D15_11D3_8909_0000834298E4_.wvu.PrintArea" hidden="1">#REF!</definedName>
    <definedName name="Z_33E04360_9D15_11D3_8909_0000834298E4_.wvu.PrintTitles" hidden="1">#REF!,#REF!</definedName>
    <definedName name="Z_33E04361_9D15_11D3_8909_0000834298E4_.wvu.PrintArea" hidden="1">#REF!</definedName>
    <definedName name="Z_33E04361_9D15_11D3_8909_0000834298E4_.wvu.PrintTitles" hidden="1">#REF!,#REF!</definedName>
    <definedName name="Z_33E04362_9D15_11D3_8909_0000834298E4_.wvu.PrintArea" hidden="1">#REF!</definedName>
    <definedName name="Z_33E04362_9D15_11D3_8909_0000834298E4_.wvu.PrintTitles" hidden="1">#REF!,#REF!</definedName>
    <definedName name="Z_33E04363_9D15_11D3_8909_0000834298E4_.wvu.PrintArea" hidden="1">#REF!</definedName>
    <definedName name="Z_33E04363_9D15_11D3_8909_0000834298E4_.wvu.PrintTitles" hidden="1">#REF!,#REF!</definedName>
    <definedName name="Z_33E04364_9D15_11D3_8909_0000834298E4_.wvu.PrintArea" hidden="1">#REF!</definedName>
    <definedName name="Z_33E04364_9D15_11D3_8909_0000834298E4_.wvu.PrintTitles" hidden="1">#REF!,#REF!</definedName>
    <definedName name="Z_372AD0D0_7071_11D3_88FD_0000834298E4_.wvu.PrintArea" hidden="1">#REF!</definedName>
    <definedName name="Z_372AD0D0_7071_11D3_88FD_0000834298E4_.wvu.PrintTitles" hidden="1">#REF!,#REF!</definedName>
    <definedName name="Z_372AD0D1_7071_11D3_88FD_0000834298E4_.wvu.PrintArea" hidden="1">#REF!</definedName>
    <definedName name="Z_372AD0D1_7071_11D3_88FD_0000834298E4_.wvu.PrintTitles" hidden="1">#REF!,#REF!</definedName>
    <definedName name="Z_372AD0D2_7071_11D3_88FD_0000834298E4_.wvu.PrintArea" hidden="1">#REF!</definedName>
    <definedName name="Z_372AD0D2_7071_11D3_88FD_0000834298E4_.wvu.PrintTitles" hidden="1">#REF!,#REF!</definedName>
    <definedName name="Z_372AD0D3_7071_11D3_88FD_0000834298E4_.wvu.PrintArea" hidden="1">#REF!</definedName>
    <definedName name="Z_372AD0D3_7071_11D3_88FD_0000834298E4_.wvu.PrintTitles" hidden="1">#REF!,#REF!</definedName>
    <definedName name="Z_372AD0D4_7071_11D3_88FD_0000834298E4_.wvu.PrintArea" hidden="1">#REF!</definedName>
    <definedName name="Z_372AD0D4_7071_11D3_88FD_0000834298E4_.wvu.PrintTitles" hidden="1">#REF!,#REF!</definedName>
    <definedName name="Z_3FDE5923_907D_11D3_88FB_0000834298E4_.wvu.PrintArea" hidden="1">#REF!</definedName>
    <definedName name="Z_3FDE5923_907D_11D3_88FB_0000834298E4_.wvu.PrintTitles" hidden="1">#REF!,#REF!</definedName>
    <definedName name="Z_3FDE5924_907D_11D3_88FB_0000834298E4_.wvu.PrintArea" hidden="1">#REF!</definedName>
    <definedName name="Z_3FDE5924_907D_11D3_88FB_0000834298E4_.wvu.PrintTitles" hidden="1">#REF!,#REF!</definedName>
    <definedName name="Z_3FDE5925_907D_11D3_88FB_0000834298E4_.wvu.PrintArea" hidden="1">#REF!</definedName>
    <definedName name="Z_3FDE5925_907D_11D3_88FB_0000834298E4_.wvu.PrintTitles" hidden="1">#REF!,#REF!</definedName>
    <definedName name="Z_3FDE5926_907D_11D3_88FB_0000834298E4_.wvu.PrintArea" hidden="1">#REF!</definedName>
    <definedName name="Z_3FDE5926_907D_11D3_88FB_0000834298E4_.wvu.PrintTitles" hidden="1">#REF!,#REF!</definedName>
    <definedName name="Z_3FDE5927_907D_11D3_88FB_0000834298E4_.wvu.PrintArea" hidden="1">#REF!</definedName>
    <definedName name="Z_3FDE5927_907D_11D3_88FB_0000834298E4_.wvu.PrintTitles" hidden="1">#REF!,#REF!</definedName>
    <definedName name="Z_52599C1A_5BCA_11D3_88E6_0000834298E4_.wvu.Cols" hidden="1">[2]Quarters!$F:$M</definedName>
    <definedName name="Z_52599C1A_5BCA_11D3_88E6_0000834298E4_.wvu.PrintArea" hidden="1">[2]Quarters!$F$53:$R$85</definedName>
    <definedName name="Z_52599C1A_5BCA_11D3_88E6_0000834298E4_.wvu.PrintTitles" hidden="1">[2]Quarters!#REF!</definedName>
    <definedName name="Z_52599C1C_5BCA_11D3_88E6_0000834298E4_.wvu.Cols" hidden="1">[2]Quarters!$F:$M</definedName>
    <definedName name="Z_52599C1C_5BCA_11D3_88E6_0000834298E4_.wvu.PrintArea" hidden="1">[2]Quarters!$F$1:$Q$52</definedName>
    <definedName name="Z_52599C1C_5BCA_11D3_88E6_0000834298E4_.wvu.PrintTitles" hidden="1">[2]Quarters!#REF!</definedName>
    <definedName name="Z_52599C1E_5BCA_11D3_88E6_0000834298E4_.wvu.Cols" hidden="1">[2]Quarters!$F:$M</definedName>
    <definedName name="Z_52599C1E_5BCA_11D3_88E6_0000834298E4_.wvu.PrintArea" hidden="1">[2]Quarters!$R$1:$AC$50</definedName>
    <definedName name="Z_52599C1E_5BCA_11D3_88E6_0000834298E4_.wvu.PrintTitles" hidden="1">[2]Quarters!#REF!</definedName>
    <definedName name="Z_52599EEC_5BCA_11D3_88E6_0000834298E4_.wvu.Cols" hidden="1">[2]Quarters!$F:$M</definedName>
    <definedName name="Z_52599EEC_5BCA_11D3_88E6_0000834298E4_.wvu.PrintArea" hidden="1">[2]Quarters!$F$53:$R$85</definedName>
    <definedName name="Z_52599EEC_5BCA_11D3_88E6_0000834298E4_.wvu.PrintTitles" hidden="1">[2]Quarters!#REF!</definedName>
    <definedName name="Z_52599EEE_5BCA_11D3_88E6_0000834298E4_.wvu.Cols" hidden="1">[2]Quarters!$F:$M</definedName>
    <definedName name="Z_52599EEE_5BCA_11D3_88E6_0000834298E4_.wvu.PrintArea" hidden="1">[2]Quarters!$F$1:$Q$52</definedName>
    <definedName name="Z_52599EEE_5BCA_11D3_88E6_0000834298E4_.wvu.PrintTitles" hidden="1">[2]Quarters!#REF!</definedName>
    <definedName name="Z_52599EF0_5BCA_11D3_88E6_0000834298E4_.wvu.Cols" hidden="1">[2]Quarters!$F:$M</definedName>
    <definedName name="Z_52599EF0_5BCA_11D3_88E6_0000834298E4_.wvu.PrintArea" hidden="1">[2]Quarters!$R$1:$AC$50</definedName>
    <definedName name="Z_52599EF0_5BCA_11D3_88E6_0000834298E4_.wvu.PrintTitles" hidden="1">[2]Quarters!#REF!</definedName>
    <definedName name="Z_5259A2CD_5BCA_11D3_88E6_0000834298E4_.wvu.Cols" hidden="1">[2]Quarters!$F:$M</definedName>
    <definedName name="Z_5259A2CD_5BCA_11D3_88E6_0000834298E4_.wvu.PrintArea" hidden="1">[2]Quarters!$F$53:$R$85</definedName>
    <definedName name="Z_5259A2CD_5BCA_11D3_88E6_0000834298E4_.wvu.PrintTitles" hidden="1">[2]Quarters!#REF!</definedName>
    <definedName name="Z_5259A2CF_5BCA_11D3_88E6_0000834298E4_.wvu.Cols" hidden="1">[2]Quarters!$F:$M</definedName>
    <definedName name="Z_5259A2CF_5BCA_11D3_88E6_0000834298E4_.wvu.PrintArea" hidden="1">[2]Quarters!$F$1:$Q$52</definedName>
    <definedName name="Z_5259A2CF_5BCA_11D3_88E6_0000834298E4_.wvu.PrintTitles" hidden="1">[2]Quarters!#REF!</definedName>
    <definedName name="Z_5259A2D1_5BCA_11D3_88E6_0000834298E4_.wvu.Cols" hidden="1">[2]Quarters!$F:$M</definedName>
    <definedName name="Z_5259A2D1_5BCA_11D3_88E6_0000834298E4_.wvu.PrintArea" hidden="1">[2]Quarters!$R$1:$AC$50</definedName>
    <definedName name="Z_5259A2D1_5BCA_11D3_88E6_0000834298E4_.wvu.PrintTitles" hidden="1">[2]Quarters!#REF!</definedName>
    <definedName name="Z_5259A4C0_5BCA_11D3_88E6_0000834298E4_.wvu.Cols" hidden="1">[2]Quarters!$F:$M</definedName>
    <definedName name="Z_5259A4C0_5BCA_11D3_88E6_0000834298E4_.wvu.PrintArea" hidden="1">[2]Quarters!$F$53:$R$85</definedName>
    <definedName name="Z_5259A4C0_5BCA_11D3_88E6_0000834298E4_.wvu.PrintTitles" hidden="1">[2]Quarters!#REF!</definedName>
    <definedName name="Z_5259A4C2_5BCA_11D3_88E6_0000834298E4_.wvu.Cols" hidden="1">[2]Quarters!$F:$M</definedName>
    <definedName name="Z_5259A4C2_5BCA_11D3_88E6_0000834298E4_.wvu.PrintArea" hidden="1">[2]Quarters!$F$1:$Q$52</definedName>
    <definedName name="Z_5259A4C2_5BCA_11D3_88E6_0000834298E4_.wvu.PrintTitles" hidden="1">[2]Quarters!#REF!</definedName>
    <definedName name="Z_5259A4C4_5BCA_11D3_88E6_0000834298E4_.wvu.Cols" hidden="1">[2]Quarters!$F:$M</definedName>
    <definedName name="Z_5259A4C4_5BCA_11D3_88E6_0000834298E4_.wvu.PrintArea" hidden="1">[2]Quarters!$R$1:$AC$50</definedName>
    <definedName name="Z_5259A4C4_5BCA_11D3_88E6_0000834298E4_.wvu.PrintTitles" hidden="1">[2]Quarters!#REF!</definedName>
    <definedName name="Z_575FE831_9D22_11D3_8909_0000834298E4_.wvu.PrintArea" hidden="1">#REF!</definedName>
    <definedName name="Z_575FE831_9D22_11D3_8909_0000834298E4_.wvu.PrintTitles" hidden="1">#REF!,#REF!</definedName>
    <definedName name="Z_575FE832_9D22_11D3_8909_0000834298E4_.wvu.PrintArea" hidden="1">#REF!</definedName>
    <definedName name="Z_575FE832_9D22_11D3_8909_0000834298E4_.wvu.PrintTitles" hidden="1">#REF!,#REF!</definedName>
    <definedName name="Z_575FE833_9D22_11D3_8909_0000834298E4_.wvu.PrintArea" hidden="1">#REF!</definedName>
    <definedName name="Z_575FE833_9D22_11D3_8909_0000834298E4_.wvu.PrintTitles" hidden="1">#REF!,#REF!</definedName>
    <definedName name="Z_575FE834_9D22_11D3_8909_0000834298E4_.wvu.PrintArea" hidden="1">#REF!</definedName>
    <definedName name="Z_575FE834_9D22_11D3_8909_0000834298E4_.wvu.PrintTitles" hidden="1">#REF!,#REF!</definedName>
    <definedName name="Z_575FE835_9D22_11D3_8909_0000834298E4_.wvu.PrintArea" hidden="1">#REF!</definedName>
    <definedName name="Z_575FE835_9D22_11D3_8909_0000834298E4_.wvu.PrintTitles" hidden="1">#REF!,#REF!</definedName>
    <definedName name="Z_58811516_5B2E_11D3_88E5_0000834298E4_.wvu.Cols" hidden="1">[2]Quarters!$F:$M</definedName>
    <definedName name="Z_58811516_5B2E_11D3_88E5_0000834298E4_.wvu.PrintArea" hidden="1">[2]Quarters!$F$53:$R$85</definedName>
    <definedName name="Z_58811516_5B2E_11D3_88E5_0000834298E4_.wvu.PrintTitles" hidden="1">[2]Quarters!#REF!</definedName>
    <definedName name="Z_58811518_5B2E_11D3_88E5_0000834298E4_.wvu.Cols" hidden="1">[2]Quarters!$F:$M</definedName>
    <definedName name="Z_58811518_5B2E_11D3_88E5_0000834298E4_.wvu.PrintArea" hidden="1">[2]Quarters!$F$1:$Q$52</definedName>
    <definedName name="Z_58811518_5B2E_11D3_88E5_0000834298E4_.wvu.PrintTitles" hidden="1">[2]Quarters!#REF!</definedName>
    <definedName name="Z_5881151A_5B2E_11D3_88E5_0000834298E4_.wvu.Cols" hidden="1">[2]Quarters!$F:$M</definedName>
    <definedName name="Z_5881151A_5B2E_11D3_88E5_0000834298E4_.wvu.PrintArea" hidden="1">[2]Quarters!$R$1:$AC$50</definedName>
    <definedName name="Z_5881151A_5B2E_11D3_88E5_0000834298E4_.wvu.PrintTitles" hidden="1">[2]Quarters!#REF!</definedName>
    <definedName name="Z_806DABE2_654D_11D3_88F1_0000834298E4_.wvu.PrintArea" hidden="1">#REF!</definedName>
    <definedName name="Z_806DABE2_654D_11D3_88F1_0000834298E4_.wvu.PrintTitles" hidden="1">#REF!,#REF!</definedName>
    <definedName name="Z_806DABE3_654D_11D3_88F1_0000834298E4_.wvu.PrintArea" hidden="1">#REF!</definedName>
    <definedName name="Z_806DABE3_654D_11D3_88F1_0000834298E4_.wvu.PrintTitles" hidden="1">#REF!,#REF!</definedName>
    <definedName name="Z_806DABE4_654D_11D3_88F1_0000834298E4_.wvu.PrintArea" hidden="1">#REF!</definedName>
    <definedName name="Z_806DABE4_654D_11D3_88F1_0000834298E4_.wvu.PrintTitles" hidden="1">#REF!,#REF!</definedName>
    <definedName name="Z_806DABE5_654D_11D3_88F1_0000834298E4_.wvu.PrintArea" hidden="1">#REF!</definedName>
    <definedName name="Z_806DABE5_654D_11D3_88F1_0000834298E4_.wvu.PrintTitles" hidden="1">#REF!,#REF!</definedName>
    <definedName name="Z_806DABE6_654D_11D3_88F1_0000834298E4_.wvu.PrintArea" hidden="1">#REF!</definedName>
    <definedName name="Z_806DABE6_654D_11D3_88F1_0000834298E4_.wvu.PrintTitles" hidden="1">#REF!,#REF!</definedName>
    <definedName name="Z_806DAC53_654D_11D3_88F1_0000834298E4_.wvu.PrintArea" hidden="1">#REF!</definedName>
    <definedName name="Z_806DAC53_654D_11D3_88F1_0000834298E4_.wvu.PrintTitles" hidden="1">#REF!,#REF!</definedName>
    <definedName name="Z_806DAC54_654D_11D3_88F1_0000834298E4_.wvu.PrintArea" hidden="1">#REF!</definedName>
    <definedName name="Z_806DAC54_654D_11D3_88F1_0000834298E4_.wvu.PrintTitles" hidden="1">#REF!,#REF!</definedName>
    <definedName name="Z_806DAC55_654D_11D3_88F1_0000834298E4_.wvu.PrintArea" hidden="1">#REF!</definedName>
    <definedName name="Z_806DAC55_654D_11D3_88F1_0000834298E4_.wvu.PrintTitles" hidden="1">#REF!,#REF!</definedName>
    <definedName name="Z_806DAC56_654D_11D3_88F1_0000834298E4_.wvu.PrintArea" hidden="1">#REF!</definedName>
    <definedName name="Z_806DAC56_654D_11D3_88F1_0000834298E4_.wvu.PrintTitles" hidden="1">#REF!,#REF!</definedName>
    <definedName name="Z_806DAC57_654D_11D3_88F1_0000834298E4_.wvu.PrintArea" hidden="1">#REF!</definedName>
    <definedName name="Z_806DAC57_654D_11D3_88F1_0000834298E4_.wvu.PrintTitles" hidden="1">#REF!,#REF!</definedName>
    <definedName name="Z_806DACFE_654D_11D3_88F1_0000834298E4_.wvu.PrintArea" hidden="1">#REF!</definedName>
    <definedName name="Z_806DACFE_654D_11D3_88F1_0000834298E4_.wvu.PrintTitles" hidden="1">#REF!,#REF!</definedName>
    <definedName name="Z_806DACFF_654D_11D3_88F1_0000834298E4_.wvu.PrintArea" hidden="1">#REF!</definedName>
    <definedName name="Z_806DACFF_654D_11D3_88F1_0000834298E4_.wvu.PrintTitles" hidden="1">#REF!,#REF!</definedName>
    <definedName name="Z_806DAD00_654D_11D3_88F1_0000834298E4_.wvu.PrintArea" hidden="1">#REF!</definedName>
    <definedName name="Z_806DAD00_654D_11D3_88F1_0000834298E4_.wvu.PrintTitles" hidden="1">#REF!,#REF!</definedName>
    <definedName name="Z_806DAD01_654D_11D3_88F1_0000834298E4_.wvu.PrintArea" hidden="1">#REF!</definedName>
    <definedName name="Z_806DAD01_654D_11D3_88F1_0000834298E4_.wvu.PrintTitles" hidden="1">#REF!,#REF!</definedName>
    <definedName name="Z_806DAD02_654D_11D3_88F1_0000834298E4_.wvu.PrintArea" hidden="1">#REF!</definedName>
    <definedName name="Z_806DAD02_654D_11D3_88F1_0000834298E4_.wvu.PrintTitles" hidden="1">#REF!,#REF!</definedName>
    <definedName name="Z_87D90C58_8651_11D3_88F0_0000834298E4_.wvu.PrintArea" hidden="1">#REF!</definedName>
    <definedName name="Z_87D90C58_8651_11D3_88F0_0000834298E4_.wvu.PrintTitles" hidden="1">#REF!,#REF!</definedName>
    <definedName name="Z_87D90C59_8651_11D3_88F0_0000834298E4_.wvu.PrintArea" hidden="1">#REF!</definedName>
    <definedName name="Z_87D90C59_8651_11D3_88F0_0000834298E4_.wvu.PrintTitles" hidden="1">#REF!,#REF!</definedName>
    <definedName name="Z_87D90C5A_8651_11D3_88F0_0000834298E4_.wvu.PrintArea" hidden="1">#REF!</definedName>
    <definedName name="Z_87D90C5A_8651_11D3_88F0_0000834298E4_.wvu.PrintTitles" hidden="1">#REF!,#REF!</definedName>
    <definedName name="Z_87D90C5B_8651_11D3_88F0_0000834298E4_.wvu.PrintArea" hidden="1">#REF!</definedName>
    <definedName name="Z_87D90C5B_8651_11D3_88F0_0000834298E4_.wvu.PrintTitles" hidden="1">#REF!,#REF!</definedName>
    <definedName name="Z_87D90C5C_8651_11D3_88F0_0000834298E4_.wvu.PrintArea" hidden="1">#REF!</definedName>
    <definedName name="Z_87D90C5C_8651_11D3_88F0_0000834298E4_.wvu.PrintTitles" hidden="1">#REF!,#REF!</definedName>
    <definedName name="Z_92008C7C_75E1_11D3_8904_0000834298E4_.wvu.PrintArea" hidden="1">#REF!</definedName>
    <definedName name="Z_92008C7C_75E1_11D3_8904_0000834298E4_.wvu.PrintTitles" hidden="1">#REF!,#REF!</definedName>
    <definedName name="Z_92008C7D_75E1_11D3_8904_0000834298E4_.wvu.PrintArea" hidden="1">#REF!</definedName>
    <definedName name="Z_92008C7D_75E1_11D3_8904_0000834298E4_.wvu.PrintTitles" hidden="1">#REF!,#REF!</definedName>
    <definedName name="Z_92008C7E_75E1_11D3_8904_0000834298E4_.wvu.PrintArea" hidden="1">#REF!</definedName>
    <definedName name="Z_92008C7E_75E1_11D3_8904_0000834298E4_.wvu.PrintTitles" hidden="1">#REF!,#REF!</definedName>
    <definedName name="Z_92008C7F_75E1_11D3_8904_0000834298E4_.wvu.PrintArea" hidden="1">#REF!</definedName>
    <definedName name="Z_92008C7F_75E1_11D3_8904_0000834298E4_.wvu.PrintTitles" hidden="1">#REF!,#REF!</definedName>
    <definedName name="Z_92008C80_75E1_11D3_8904_0000834298E4_.wvu.PrintArea" hidden="1">#REF!</definedName>
    <definedName name="Z_92008C80_75E1_11D3_8904_0000834298E4_.wvu.PrintTitles" hidden="1">#REF!,#REF!</definedName>
    <definedName name="Z_96F242F7_9792_11D3_8905_0000834298E4_.wvu.PrintArea" hidden="1">#REF!</definedName>
    <definedName name="Z_96F242F7_9792_11D3_8905_0000834298E4_.wvu.PrintTitles" hidden="1">#REF!,#REF!</definedName>
    <definedName name="Z_96F242F8_9792_11D3_8905_0000834298E4_.wvu.PrintArea" hidden="1">#REF!</definedName>
    <definedName name="Z_96F242F8_9792_11D3_8905_0000834298E4_.wvu.PrintTitles" hidden="1">#REF!,#REF!</definedName>
    <definedName name="Z_96F242F9_9792_11D3_8905_0000834298E4_.wvu.PrintArea" hidden="1">#REF!</definedName>
    <definedName name="Z_96F242F9_9792_11D3_8905_0000834298E4_.wvu.PrintTitles" hidden="1">#REF!,#REF!</definedName>
    <definedName name="Z_96F242FA_9792_11D3_8905_0000834298E4_.wvu.PrintArea" hidden="1">#REF!</definedName>
    <definedName name="Z_96F242FA_9792_11D3_8905_0000834298E4_.wvu.PrintTitles" hidden="1">#REF!,#REF!</definedName>
    <definedName name="Z_96F242FB_9792_11D3_8905_0000834298E4_.wvu.PrintArea" hidden="1">#REF!</definedName>
    <definedName name="Z_96F242FB_9792_11D3_8905_0000834298E4_.wvu.PrintTitles" hidden="1">#REF!,#REF!</definedName>
    <definedName name="Z_9E133267_5193_11D3_9C74_0020352B7F13_.wvu.Cols" hidden="1">[2]Quarters!#REF!</definedName>
    <definedName name="Z_9E133267_5193_11D3_9C74_0020352B7F13_.wvu.PrintArea" hidden="1">[2]Quarters!$F$53:$N$85</definedName>
    <definedName name="Z_9E133267_5193_11D3_9C74_0020352B7F13_.wvu.PrintTitles" hidden="1">[2]Quarters!#REF!</definedName>
    <definedName name="Z_9E133268_5193_11D3_9C74_0020352B7F13_.wvu.Cols" hidden="1">[2]Quarters!#REF!</definedName>
    <definedName name="Z_9E133268_5193_11D3_9C74_0020352B7F13_.wvu.PrintArea" hidden="1">[2]Quarters!$F$1:$M$52</definedName>
    <definedName name="Z_9E133268_5193_11D3_9C74_0020352B7F13_.wvu.PrintTitles" hidden="1">[2]Quarters!#REF!</definedName>
    <definedName name="Z_9E133269_5193_11D3_9C74_0020352B7F13_.wvu.Cols" hidden="1">[2]Quarters!#REF!</definedName>
    <definedName name="Z_9E133269_5193_11D3_9C74_0020352B7F13_.wvu.PrintArea" hidden="1">[2]Quarters!$N$1:$Y$50</definedName>
    <definedName name="Z_9E133269_5193_11D3_9C74_0020352B7F13_.wvu.PrintTitles" hidden="1">[2]Quarters!#REF!</definedName>
    <definedName name="Z_9E133318_5193_11D3_9C74_0020352B7F13_.wvu.PrintArea" hidden="1">[2]Quarters!$F$53:$R$85</definedName>
    <definedName name="Z_9E133318_5193_11D3_9C74_0020352B7F13_.wvu.PrintTitles" hidden="1">[2]Quarters!#REF!</definedName>
    <definedName name="Z_9E133319_5193_11D3_9C74_0020352B7F13_.wvu.PrintArea" hidden="1">[2]Quarters!$F$1:$Q$52</definedName>
    <definedName name="Z_9E133319_5193_11D3_9C74_0020352B7F13_.wvu.PrintTitles" hidden="1">[2]Quarters!#REF!</definedName>
    <definedName name="Z_9E13331A_5193_11D3_9C74_0020352B7F13_.wvu.PrintArea" hidden="1">[2]Quarters!$R$1:$AC$50</definedName>
    <definedName name="Z_9E13331A_5193_11D3_9C74_0020352B7F13_.wvu.PrintTitles" hidden="1">[2]Quarters!#REF!</definedName>
    <definedName name="Z_AC271C04_66FD_11D3_88F4_0000834298E4_.wvu.Cols" hidden="1">[2]Quarters!$F:$M</definedName>
    <definedName name="Z_AC271C04_66FD_11D3_88F4_0000834298E4_.wvu.PrintArea" hidden="1">[2]Quarters!$F$53:$R$85</definedName>
    <definedName name="Z_AC271C04_66FD_11D3_88F4_0000834298E4_.wvu.PrintTitles" hidden="1">[2]Quarters!#REF!</definedName>
    <definedName name="Z_AC271C04_66FD_11D3_88F4_0000834298E4_.wvu.Rows" hidden="1">[2]Quarters!$33:$33</definedName>
    <definedName name="Z_AC271C06_66FD_11D3_88F4_0000834298E4_.wvu.Cols" hidden="1">[2]Quarters!$F:$M</definedName>
    <definedName name="Z_AC271C06_66FD_11D3_88F4_0000834298E4_.wvu.PrintArea" hidden="1">[2]Quarters!$F$1:$Q$52</definedName>
    <definedName name="Z_AC271C06_66FD_11D3_88F4_0000834298E4_.wvu.PrintTitles" hidden="1">[2]Quarters!#REF!</definedName>
    <definedName name="Z_AC271C06_66FD_11D3_88F4_0000834298E4_.wvu.Rows" hidden="1">[2]Quarters!$33:$33</definedName>
    <definedName name="Z_AC271C08_66FD_11D3_88F4_0000834298E4_.wvu.Cols" hidden="1">[2]Quarters!$F:$M</definedName>
    <definedName name="Z_AC271C08_66FD_11D3_88F4_0000834298E4_.wvu.PrintArea" hidden="1">[2]Quarters!$R$1:$AC$50</definedName>
    <definedName name="Z_AC271C08_66FD_11D3_88F4_0000834298E4_.wvu.PrintTitles" hidden="1">[2]Quarters!#REF!</definedName>
    <definedName name="Z_AC271C08_66FD_11D3_88F4_0000834298E4_.wvu.Rows" hidden="1">[2]Quarters!$33:$33</definedName>
    <definedName name="Z_B46E469D_A288_11D3_890C_0000834298E4_.wvu.PrintArea" hidden="1">#REF!</definedName>
    <definedName name="Z_B46E469D_A288_11D3_890C_0000834298E4_.wvu.PrintTitles" hidden="1">#REF!,#REF!</definedName>
    <definedName name="Z_B46E469E_A288_11D3_890C_0000834298E4_.wvu.PrintArea" hidden="1">#REF!</definedName>
    <definedName name="Z_B46E469E_A288_11D3_890C_0000834298E4_.wvu.PrintTitles" hidden="1">#REF!,#REF!</definedName>
    <definedName name="Z_B46E469F_A288_11D3_890C_0000834298E4_.wvu.PrintArea" hidden="1">#REF!</definedName>
    <definedName name="Z_B46E469F_A288_11D3_890C_0000834298E4_.wvu.PrintTitles" hidden="1">#REF!,#REF!</definedName>
    <definedName name="Z_B46E46A0_A288_11D3_890C_0000834298E4_.wvu.PrintArea" hidden="1">#REF!</definedName>
    <definedName name="Z_B46E46A0_A288_11D3_890C_0000834298E4_.wvu.PrintTitles" hidden="1">#REF!,#REF!</definedName>
    <definedName name="Z_B46E46A1_A288_11D3_890C_0000834298E4_.wvu.PrintArea" hidden="1">#REF!</definedName>
    <definedName name="Z_B46E46A1_A288_11D3_890C_0000834298E4_.wvu.PrintTitles" hidden="1">#REF!,#REF!</definedName>
    <definedName name="Z_B46E4950_A288_11D3_890C_0000834298E4_.wvu.PrintArea" hidden="1">#REF!</definedName>
    <definedName name="Z_B46E4950_A288_11D3_890C_0000834298E4_.wvu.PrintTitles" hidden="1">#REF!,#REF!</definedName>
    <definedName name="Z_B46E4951_A288_11D3_890C_0000834298E4_.wvu.PrintArea" hidden="1">#REF!</definedName>
    <definedName name="Z_B46E4951_A288_11D3_890C_0000834298E4_.wvu.PrintTitles" hidden="1">#REF!,#REF!</definedName>
    <definedName name="Z_B46E4952_A288_11D3_890C_0000834298E4_.wvu.PrintArea" hidden="1">#REF!</definedName>
    <definedName name="Z_B46E4952_A288_11D3_890C_0000834298E4_.wvu.PrintTitles" hidden="1">#REF!,#REF!</definedName>
    <definedName name="Z_B46E4953_A288_11D3_890C_0000834298E4_.wvu.PrintArea" hidden="1">#REF!</definedName>
    <definedName name="Z_B46E4953_A288_11D3_890C_0000834298E4_.wvu.PrintTitles" hidden="1">#REF!,#REF!</definedName>
    <definedName name="Z_B46E4954_A288_11D3_890C_0000834298E4_.wvu.PrintArea" hidden="1">#REF!</definedName>
    <definedName name="Z_B46E4954_A288_11D3_890C_0000834298E4_.wvu.PrintTitles" hidden="1">#REF!,#REF!</definedName>
    <definedName name="Z_B4964D6E_51D3_11D3_9C74_0020352B7F13_.wvu.PrintArea" hidden="1">[2]Quarters!$F$53:$R$85</definedName>
    <definedName name="Z_B4964D6E_51D3_11D3_9C74_0020352B7F13_.wvu.PrintTitles" hidden="1">[2]Quarters!#REF!</definedName>
    <definedName name="Z_B4964D6F_51D3_11D3_9C74_0020352B7F13_.wvu.PrintArea" hidden="1">[2]Quarters!$F$1:$Q$52</definedName>
    <definedName name="Z_B4964D6F_51D3_11D3_9C74_0020352B7F13_.wvu.PrintTitles" hidden="1">[2]Quarters!#REF!</definedName>
    <definedName name="Z_B4964D70_51D3_11D3_9C74_0020352B7F13_.wvu.PrintArea" hidden="1">[2]Quarters!$R$1:$AC$50</definedName>
    <definedName name="Z_B4964D70_51D3_11D3_9C74_0020352B7F13_.wvu.PrintTitles" hidden="1">[2]Quarters!#REF!</definedName>
    <definedName name="Z_F1A2AD24_5C94_11D3_88E8_0000834298E4_.wvu.Cols" hidden="1">[2]Quarters!$F:$M</definedName>
    <definedName name="Z_F1A2AD24_5C94_11D3_88E8_0000834298E4_.wvu.PrintArea" hidden="1">[2]Quarters!$F$53:$R$85</definedName>
    <definedName name="Z_F1A2AD24_5C94_11D3_88E8_0000834298E4_.wvu.PrintTitles" hidden="1">[2]Quarters!#REF!</definedName>
    <definedName name="Z_F1A2AD26_5C94_11D3_88E8_0000834298E4_.wvu.Cols" hidden="1">[2]Quarters!$F:$M</definedName>
    <definedName name="Z_F1A2AD26_5C94_11D3_88E8_0000834298E4_.wvu.PrintArea" hidden="1">[2]Quarters!$F$1:$Q$52</definedName>
    <definedName name="Z_F1A2AD26_5C94_11D3_88E8_0000834298E4_.wvu.PrintTitles" hidden="1">[2]Quarters!#REF!</definedName>
    <definedName name="Z_F1A2AD28_5C94_11D3_88E8_0000834298E4_.wvu.Cols" hidden="1">[2]Quarters!$F:$M</definedName>
    <definedName name="Z_F1A2AD28_5C94_11D3_88E8_0000834298E4_.wvu.PrintArea" hidden="1">[2]Quarters!$R$1:$AC$50</definedName>
    <definedName name="Z_F1A2AD28_5C94_11D3_88E8_0000834298E4_.wvu.PrintTitles" hidden="1">[2]Quarters!#REF!</definedName>
    <definedName name="Z_F4B4FE18_7101_11D3_88FE_0000834298E4_.wvu.PrintArea" hidden="1">#REF!</definedName>
    <definedName name="Z_F4B4FE18_7101_11D3_88FE_0000834298E4_.wvu.PrintTitles" hidden="1">#REF!,#REF!</definedName>
    <definedName name="Z_F4B4FE19_7101_11D3_88FE_0000834298E4_.wvu.PrintArea" hidden="1">#REF!</definedName>
    <definedName name="Z_F4B4FE19_7101_11D3_88FE_0000834298E4_.wvu.PrintTitles" hidden="1">#REF!,#REF!</definedName>
    <definedName name="Z_F4B4FE1A_7101_11D3_88FE_0000834298E4_.wvu.PrintArea" hidden="1">#REF!</definedName>
    <definedName name="Z_F4B4FE1A_7101_11D3_88FE_0000834298E4_.wvu.PrintTitles" hidden="1">#REF!,#REF!</definedName>
    <definedName name="Z_F4B4FE1B_7101_11D3_88FE_0000834298E4_.wvu.PrintArea" hidden="1">#REF!</definedName>
    <definedName name="Z_F4B4FE1B_7101_11D3_88FE_0000834298E4_.wvu.PrintTitles" hidden="1">#REF!,#REF!</definedName>
    <definedName name="Z_F4B4FE1C_7101_11D3_88FE_0000834298E4_.wvu.PrintArea" hidden="1">#REF!</definedName>
    <definedName name="Z_F4B4FE1C_7101_11D3_88FE_0000834298E4_.wvu.PrintTitles" hidden="1">#REF!,#REF!</definedName>
    <definedName name="Z_F4B5003C_7101_11D3_88FE_0000834298E4_.wvu.PrintArea" hidden="1">#REF!</definedName>
    <definedName name="Z_F4B5003C_7101_11D3_88FE_0000834298E4_.wvu.PrintTitles" hidden="1">#REF!,#REF!</definedName>
    <definedName name="Z_F4B5003D_7101_11D3_88FE_0000834298E4_.wvu.PrintArea" hidden="1">#REF!</definedName>
    <definedName name="Z_F4B5003D_7101_11D3_88FE_0000834298E4_.wvu.PrintTitles" hidden="1">#REF!,#REF!</definedName>
    <definedName name="Z_F4B5003E_7101_11D3_88FE_0000834298E4_.wvu.PrintArea" hidden="1">#REF!</definedName>
    <definedName name="Z_F4B5003E_7101_11D3_88FE_0000834298E4_.wvu.PrintTitles" hidden="1">#REF!,#REF!</definedName>
    <definedName name="Z_F4B5003F_7101_11D3_88FE_0000834298E4_.wvu.PrintArea" hidden="1">#REF!</definedName>
    <definedName name="Z_F4B5003F_7101_11D3_88FE_0000834298E4_.wvu.PrintTitles" hidden="1">#REF!,#REF!</definedName>
    <definedName name="Z_F4B50040_7101_11D3_88FE_0000834298E4_.wvu.PrintArea" hidden="1">#REF!</definedName>
    <definedName name="Z_F4B50040_7101_11D3_88FE_0000834298E4_.wvu.PrintTitles" hidden="1">#REF!,#REF!</definedName>
    <definedName name="Z_F4B500EF_7101_11D3_88FE_0000834298E4_.wvu.PrintArea" hidden="1">#REF!</definedName>
    <definedName name="Z_F4B500EF_7101_11D3_88FE_0000834298E4_.wvu.PrintTitles" hidden="1">#REF!,#REF!</definedName>
    <definedName name="Z_F4B500F0_7101_11D3_88FE_0000834298E4_.wvu.PrintArea" hidden="1">#REF!</definedName>
    <definedName name="Z_F4B500F0_7101_11D3_88FE_0000834298E4_.wvu.PrintTitles" hidden="1">#REF!,#REF!</definedName>
    <definedName name="Z_F4B500F1_7101_11D3_88FE_0000834298E4_.wvu.PrintArea" hidden="1">#REF!</definedName>
    <definedName name="Z_F4B500F1_7101_11D3_88FE_0000834298E4_.wvu.PrintTitles" hidden="1">#REF!,#REF!</definedName>
    <definedName name="Z_F4B500F2_7101_11D3_88FE_0000834298E4_.wvu.PrintArea" hidden="1">#REF!</definedName>
    <definedName name="Z_F4B500F2_7101_11D3_88FE_0000834298E4_.wvu.PrintTitles" hidden="1">#REF!,#REF!</definedName>
    <definedName name="Z_F4B500F3_7101_11D3_88FE_0000834298E4_.wvu.PrintArea" hidden="1">#REF!</definedName>
    <definedName name="Z_F4B500F3_7101_11D3_88FE_0000834298E4_.wvu.PrintTitles" hidden="1">#REF!,#REF!</definedName>
    <definedName name="Z_FA5DF41B_71D7_11D3_88FF_0000834298E4_.wvu.PrintArea" hidden="1">[2]Quarters!$F$51:$R$85</definedName>
    <definedName name="Z_FA5DF41B_71D7_11D3_88FF_0000834298E4_.wvu.PrintTitles" hidden="1">[2]Quarters!#REF!</definedName>
    <definedName name="Z_FA5DF41B_71D7_11D3_88FF_0000834298E4_.wvu.Rows" hidden="1">[2]Quarters!$33:$33</definedName>
    <definedName name="Z_FA5DF41D_71D7_11D3_88FF_0000834298E4_.wvu.PrintArea" hidden="1">[2]Quarters!$F$1:$Q$50</definedName>
    <definedName name="Z_FA5DF41D_71D7_11D3_88FF_0000834298E4_.wvu.PrintTitles" hidden="1">[2]Quarters!#REF!</definedName>
    <definedName name="Z_FA5DF41D_71D7_11D3_88FF_0000834298E4_.wvu.Rows" hidden="1">[2]Quarters!$33:$33</definedName>
    <definedName name="Z_FA5DF41F_71D7_11D3_88FF_0000834298E4_.wvu.PrintArea" hidden="1">[2]Quarters!$R$1:$AC$35</definedName>
    <definedName name="Z_FA5DF41F_71D7_11D3_88FF_0000834298E4_.wvu.PrintTitles" hidden="1">[2]Quarters!#REF!</definedName>
    <definedName name="Z_FA5DF41F_71D7_11D3_88FF_0000834298E4_.wvu.Rows" hidden="1">[2]Quarters!$33:$33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51" l="1"/>
  <c r="C137" i="49" l="1"/>
  <c r="D137" i="49"/>
  <c r="E137" i="49"/>
  <c r="F137" i="49"/>
  <c r="G137" i="49"/>
  <c r="H137" i="49"/>
  <c r="B137" i="49"/>
  <c r="G5" i="51" l="1"/>
  <c r="G9" i="51"/>
  <c r="G8" i="51"/>
  <c r="G7" i="51"/>
  <c r="G6" i="51"/>
  <c r="G4" i="51"/>
  <c r="S31" i="16"/>
  <c r="S30" i="16"/>
  <c r="S29" i="16"/>
  <c r="S28" i="16"/>
  <c r="S27" i="16"/>
  <c r="S26" i="16"/>
  <c r="S25" i="16"/>
  <c r="S24" i="16"/>
  <c r="S23" i="16"/>
  <c r="S22" i="16"/>
  <c r="S21" i="16"/>
  <c r="S20" i="16"/>
  <c r="C20" i="51"/>
  <c r="C9" i="51"/>
  <c r="D9" i="51" s="1"/>
  <c r="E9" i="51" s="1"/>
  <c r="F9" i="51" s="1"/>
  <c r="C8" i="51"/>
  <c r="D8" i="51" s="1"/>
  <c r="E8" i="51" s="1"/>
  <c r="F8" i="51" s="1"/>
  <c r="C7" i="51"/>
  <c r="D7" i="51" s="1"/>
  <c r="E7" i="51" s="1"/>
  <c r="F7" i="51" s="1"/>
  <c r="F6" i="51"/>
  <c r="E6" i="51"/>
  <c r="D6" i="51"/>
  <c r="C19" i="51"/>
  <c r="C17" i="51"/>
  <c r="D17" i="50"/>
  <c r="E17" i="50" s="1"/>
  <c r="I35" i="54"/>
  <c r="B20" i="51" s="1"/>
  <c r="J33" i="54"/>
  <c r="I33" i="54"/>
  <c r="I34" i="54" s="1"/>
  <c r="B19" i="51" s="1"/>
  <c r="K67" i="53"/>
  <c r="K64" i="53"/>
  <c r="K65" i="53" s="1"/>
  <c r="J64" i="53"/>
  <c r="H84" i="52"/>
  <c r="G84" i="52"/>
  <c r="H82" i="52"/>
  <c r="G82" i="52"/>
  <c r="H81" i="52"/>
  <c r="G81" i="52"/>
  <c r="H79" i="52"/>
  <c r="G79" i="52"/>
  <c r="H78" i="52"/>
  <c r="G78" i="52"/>
  <c r="H77" i="52"/>
  <c r="G77" i="52"/>
  <c r="H76" i="52"/>
  <c r="G76" i="52"/>
  <c r="H75" i="52"/>
  <c r="G75" i="52"/>
  <c r="H73" i="52"/>
  <c r="G73" i="52"/>
  <c r="H72" i="52"/>
  <c r="G72" i="52"/>
  <c r="H70" i="52"/>
  <c r="G70" i="52"/>
  <c r="H69" i="52"/>
  <c r="G69" i="52"/>
  <c r="H67" i="52"/>
  <c r="G67" i="52"/>
  <c r="H66" i="52"/>
  <c r="G66" i="52"/>
  <c r="H63" i="52"/>
  <c r="G63" i="52"/>
  <c r="H62" i="52"/>
  <c r="G62" i="52"/>
  <c r="H61" i="52"/>
  <c r="G61" i="52"/>
  <c r="H59" i="52"/>
  <c r="G59" i="52"/>
  <c r="H57" i="52"/>
  <c r="G57" i="52"/>
  <c r="H56" i="52"/>
  <c r="G56" i="52"/>
  <c r="H54" i="52"/>
  <c r="G54" i="52"/>
  <c r="H53" i="52"/>
  <c r="G53" i="52"/>
  <c r="H52" i="52"/>
  <c r="G52" i="52"/>
  <c r="H41" i="52"/>
  <c r="G41" i="52"/>
  <c r="H40" i="52"/>
  <c r="G40" i="52"/>
  <c r="H39" i="52"/>
  <c r="G39" i="52"/>
  <c r="H38" i="52"/>
  <c r="G38" i="52"/>
  <c r="H36" i="52"/>
  <c r="G36" i="52"/>
  <c r="H35" i="52"/>
  <c r="G35" i="52"/>
  <c r="H34" i="52"/>
  <c r="G34" i="52"/>
  <c r="H33" i="52"/>
  <c r="G33" i="52"/>
  <c r="H32" i="52"/>
  <c r="G32" i="52"/>
  <c r="H30" i="52"/>
  <c r="G30" i="52"/>
  <c r="H29" i="52"/>
  <c r="G29" i="52"/>
  <c r="H27" i="52"/>
  <c r="G27" i="52"/>
  <c r="H26" i="52"/>
  <c r="G26" i="52"/>
  <c r="H24" i="52"/>
  <c r="G24" i="52"/>
  <c r="H23" i="52"/>
  <c r="G23" i="52"/>
  <c r="H20" i="52"/>
  <c r="G20" i="52"/>
  <c r="H19" i="52"/>
  <c r="G19" i="52"/>
  <c r="H18" i="52"/>
  <c r="G18" i="52"/>
  <c r="H16" i="52"/>
  <c r="G16" i="52"/>
  <c r="H14" i="52"/>
  <c r="G14" i="52"/>
  <c r="H13" i="52"/>
  <c r="G13" i="52"/>
  <c r="H11" i="52"/>
  <c r="G11" i="52"/>
  <c r="H10" i="52"/>
  <c r="G10" i="52"/>
  <c r="H9" i="52"/>
  <c r="G9" i="52"/>
  <c r="B26" i="51"/>
  <c r="C26" i="51" s="1"/>
  <c r="B23" i="51"/>
  <c r="B17" i="51"/>
  <c r="C6" i="51"/>
  <c r="D5" i="51"/>
  <c r="E4" i="51"/>
  <c r="F4" i="51" s="1"/>
  <c r="C4" i="51"/>
  <c r="E6" i="50" l="1"/>
  <c r="D15" i="50"/>
  <c r="E15" i="50" s="1"/>
  <c r="D13" i="50"/>
  <c r="E13" i="50" s="1"/>
  <c r="D12" i="50"/>
  <c r="E12" i="50" s="1"/>
  <c r="D7" i="50"/>
  <c r="E7" i="50"/>
  <c r="E8" i="50"/>
  <c r="D8" i="50"/>
  <c r="D11" i="50"/>
  <c r="F5" i="51"/>
  <c r="D10" i="51"/>
  <c r="E5" i="51"/>
  <c r="C5" i="51"/>
  <c r="C10" i="51" s="1"/>
  <c r="D6" i="50" l="1"/>
  <c r="F10" i="51"/>
  <c r="E11" i="50"/>
  <c r="F11" i="50" s="1"/>
  <c r="E4" i="50"/>
  <c r="D4" i="50"/>
  <c r="E10" i="51"/>
  <c r="E5" i="50"/>
  <c r="D5" i="50"/>
  <c r="D9" i="50" l="1"/>
  <c r="E9" i="50"/>
  <c r="G10" i="51"/>
  <c r="B13" i="45" l="1"/>
  <c r="L33" i="22"/>
  <c r="M33" i="22"/>
  <c r="N33" i="22"/>
  <c r="O33" i="22"/>
  <c r="P33" i="22"/>
  <c r="Q33" i="22"/>
  <c r="L15" i="22"/>
  <c r="M15" i="22"/>
  <c r="N15" i="22"/>
  <c r="O15" i="22"/>
  <c r="P15" i="22"/>
  <c r="Q15" i="22"/>
  <c r="K271" i="6"/>
  <c r="J271" i="6"/>
  <c r="I271" i="6"/>
  <c r="H271" i="6"/>
  <c r="G271" i="6"/>
  <c r="F271" i="6"/>
  <c r="E271" i="6"/>
  <c r="D271" i="6"/>
  <c r="C271" i="6"/>
  <c r="B271" i="6"/>
  <c r="C237" i="6"/>
  <c r="D237" i="6"/>
  <c r="E237" i="6"/>
  <c r="F237" i="6"/>
  <c r="G237" i="6"/>
  <c r="H237" i="6"/>
  <c r="I237" i="6"/>
  <c r="J237" i="6"/>
  <c r="K237" i="6"/>
  <c r="B237" i="6"/>
  <c r="B135" i="6"/>
  <c r="D203" i="6"/>
  <c r="E203" i="6"/>
  <c r="F203" i="6"/>
  <c r="G203" i="6"/>
  <c r="H203" i="6"/>
  <c r="I203" i="6"/>
  <c r="J203" i="6"/>
  <c r="K203" i="6"/>
  <c r="C203" i="6"/>
  <c r="B203" i="6"/>
  <c r="D75" i="46" l="1"/>
  <c r="K186" i="6"/>
  <c r="J186" i="6"/>
  <c r="I186" i="6"/>
  <c r="H186" i="6"/>
  <c r="G186" i="6"/>
  <c r="F186" i="6"/>
  <c r="E186" i="6"/>
  <c r="D186" i="6"/>
  <c r="C186" i="6"/>
  <c r="B186" i="6"/>
  <c r="K220" i="6"/>
  <c r="J220" i="6"/>
  <c r="I220" i="6"/>
  <c r="H220" i="6"/>
  <c r="G220" i="6"/>
  <c r="F220" i="6"/>
  <c r="E220" i="6"/>
  <c r="D220" i="6"/>
  <c r="C220" i="6"/>
  <c r="B220" i="6"/>
  <c r="B82" i="49"/>
  <c r="B22" i="49"/>
  <c r="B52" i="49" l="1"/>
  <c r="B108" i="49" s="1"/>
  <c r="B57" i="43"/>
  <c r="C15" i="43"/>
  <c r="B95" i="49" l="1"/>
  <c r="B33" i="43"/>
  <c r="C28" i="43"/>
  <c r="C7" i="49" l="1"/>
  <c r="C82" i="49" s="1"/>
  <c r="D11" i="43"/>
  <c r="B44" i="43" s="1"/>
  <c r="B15" i="49"/>
  <c r="C15" i="49" s="1"/>
  <c r="D15" i="49" s="1"/>
  <c r="E15" i="49" s="1"/>
  <c r="F15" i="49" s="1"/>
  <c r="G15" i="49" s="1"/>
  <c r="H15" i="49" s="1"/>
  <c r="I15" i="49" s="1"/>
  <c r="J15" i="49" s="1"/>
  <c r="K15" i="49" s="1"/>
  <c r="C22" i="43"/>
  <c r="B11" i="49"/>
  <c r="C11" i="49" s="1"/>
  <c r="D15" i="43"/>
  <c r="H138" i="49"/>
  <c r="G138" i="49"/>
  <c r="F138" i="49"/>
  <c r="E138" i="49"/>
  <c r="D138" i="49"/>
  <c r="C138" i="49"/>
  <c r="D22" i="43" l="1"/>
  <c r="B6" i="46"/>
  <c r="D7" i="49"/>
  <c r="D82" i="49" s="1"/>
  <c r="D44" i="43"/>
  <c r="C44" i="43"/>
  <c r="D11" i="49"/>
  <c r="K138" i="49"/>
  <c r="I138" i="49"/>
  <c r="I137" i="49" s="1"/>
  <c r="J138" i="49"/>
  <c r="G22" i="49" l="1"/>
  <c r="G52" i="49" s="1"/>
  <c r="J22" i="49"/>
  <c r="E22" i="49"/>
  <c r="E52" i="49" s="1"/>
  <c r="H22" i="49"/>
  <c r="H52" i="49" s="1"/>
  <c r="F22" i="49"/>
  <c r="F52" i="49" s="1"/>
  <c r="I22" i="49"/>
  <c r="I52" i="49" s="1"/>
  <c r="D22" i="49"/>
  <c r="D52" i="49" s="1"/>
  <c r="D108" i="49" s="1"/>
  <c r="K22" i="49"/>
  <c r="C22" i="49"/>
  <c r="C52" i="49" s="1"/>
  <c r="E7" i="49"/>
  <c r="E82" i="49" s="1"/>
  <c r="E11" i="49"/>
  <c r="J137" i="49"/>
  <c r="E108" i="49" l="1"/>
  <c r="D95" i="49"/>
  <c r="C108" i="49"/>
  <c r="C95" i="49"/>
  <c r="F7" i="49"/>
  <c r="F82" i="49" s="1"/>
  <c r="F108" i="49" s="1"/>
  <c r="E95" i="49"/>
  <c r="J52" i="49"/>
  <c r="F11" i="49"/>
  <c r="K137" i="49"/>
  <c r="G7" i="49" l="1"/>
  <c r="G82" i="49" s="1"/>
  <c r="G108" i="49" s="1"/>
  <c r="F95" i="49"/>
  <c r="K52" i="49"/>
  <c r="G11" i="49"/>
  <c r="H7" i="49" l="1"/>
  <c r="H82" i="49" s="1"/>
  <c r="H108" i="49" s="1"/>
  <c r="G95" i="49"/>
  <c r="H11" i="49"/>
  <c r="B76" i="46"/>
  <c r="I7" i="49" l="1"/>
  <c r="I82" i="49" s="1"/>
  <c r="I108" i="49" s="1"/>
  <c r="H95" i="49"/>
  <c r="I11" i="49"/>
  <c r="J7" i="49" l="1"/>
  <c r="J82" i="49" s="1"/>
  <c r="J108" i="49" s="1"/>
  <c r="I95" i="49"/>
  <c r="J11" i="49"/>
  <c r="N11" i="43"/>
  <c r="H11" i="43"/>
  <c r="C27" i="43"/>
  <c r="C17" i="45"/>
  <c r="B9" i="45"/>
  <c r="B6" i="45"/>
  <c r="K7" i="49" l="1"/>
  <c r="J95" i="49"/>
  <c r="K11" i="49"/>
  <c r="B16" i="45"/>
  <c r="B17" i="45" s="1"/>
  <c r="B18" i="43" s="1"/>
  <c r="C18" i="43" s="1"/>
  <c r="B5" i="46" s="1"/>
  <c r="B12" i="43"/>
  <c r="D11" i="41"/>
  <c r="C11" i="41"/>
  <c r="B11" i="41"/>
  <c r="E5" i="41"/>
  <c r="D10" i="41" s="1"/>
  <c r="D8" i="41"/>
  <c r="C8" i="41"/>
  <c r="B8" i="41"/>
  <c r="E8" i="41" s="1"/>
  <c r="B9" i="41" s="1"/>
  <c r="C55" i="2"/>
  <c r="D55" i="2" s="1"/>
  <c r="B68" i="2" s="1"/>
  <c r="C57" i="2"/>
  <c r="D57" i="2" s="1"/>
  <c r="B69" i="2" s="1"/>
  <c r="C51" i="2"/>
  <c r="C50" i="2" s="1"/>
  <c r="D50" i="2" s="1"/>
  <c r="B61" i="2"/>
  <c r="B34" i="2"/>
  <c r="B3" i="4"/>
  <c r="K95" i="49" l="1"/>
  <c r="L95" i="49" s="1"/>
  <c r="K82" i="49"/>
  <c r="K108" i="49" s="1"/>
  <c r="B18" i="45"/>
  <c r="B19" i="43" s="1"/>
  <c r="C19" i="43" s="1"/>
  <c r="B7" i="46" s="1"/>
  <c r="D18" i="43"/>
  <c r="D9" i="41"/>
  <c r="C9" i="41"/>
  <c r="B10" i="41"/>
  <c r="E13" i="41" s="1"/>
  <c r="C10" i="41"/>
  <c r="B66" i="2"/>
  <c r="C52" i="2"/>
  <c r="K35" i="38"/>
  <c r="K52" i="38" s="1"/>
  <c r="K69" i="38" s="1"/>
  <c r="K103" i="38" s="1"/>
  <c r="J35" i="38"/>
  <c r="J52" i="38" s="1"/>
  <c r="J69" i="38" s="1"/>
  <c r="J103" i="38" s="1"/>
  <c r="I35" i="38"/>
  <c r="I52" i="38" s="1"/>
  <c r="I69" i="38" s="1"/>
  <c r="I103" i="38" s="1"/>
  <c r="H35" i="38"/>
  <c r="H52" i="38" s="1"/>
  <c r="H69" i="38" s="1"/>
  <c r="H103" i="38" s="1"/>
  <c r="G35" i="38"/>
  <c r="G52" i="38" s="1"/>
  <c r="G69" i="38" s="1"/>
  <c r="G103" i="38" s="1"/>
  <c r="F35" i="38"/>
  <c r="F52" i="38" s="1"/>
  <c r="F69" i="38" s="1"/>
  <c r="F103" i="38" s="1"/>
  <c r="E35" i="38"/>
  <c r="E52" i="38" s="1"/>
  <c r="E69" i="38" s="1"/>
  <c r="E103" i="38" s="1"/>
  <c r="D35" i="38"/>
  <c r="D52" i="38" s="1"/>
  <c r="D69" i="38" s="1"/>
  <c r="D103" i="38" s="1"/>
  <c r="C35" i="38"/>
  <c r="C52" i="38" s="1"/>
  <c r="C69" i="38" s="1"/>
  <c r="C103" i="38" s="1"/>
  <c r="B35" i="38"/>
  <c r="B52" i="38" s="1"/>
  <c r="B69" i="38" s="1"/>
  <c r="B103" i="38" s="1"/>
  <c r="B137" i="38" s="1"/>
  <c r="B120" i="38" s="1"/>
  <c r="B154" i="38" s="1"/>
  <c r="K34" i="38"/>
  <c r="K51" i="38" s="1"/>
  <c r="K68" i="38" s="1"/>
  <c r="K102" i="38" s="1"/>
  <c r="J34" i="38"/>
  <c r="J51" i="38" s="1"/>
  <c r="J68" i="38" s="1"/>
  <c r="J102" i="38" s="1"/>
  <c r="I34" i="38"/>
  <c r="I51" i="38" s="1"/>
  <c r="I68" i="38" s="1"/>
  <c r="I102" i="38" s="1"/>
  <c r="H34" i="38"/>
  <c r="H51" i="38" s="1"/>
  <c r="H68" i="38" s="1"/>
  <c r="H102" i="38" s="1"/>
  <c r="G34" i="38"/>
  <c r="G51" i="38" s="1"/>
  <c r="G68" i="38" s="1"/>
  <c r="G102" i="38" s="1"/>
  <c r="F34" i="38"/>
  <c r="F51" i="38" s="1"/>
  <c r="F68" i="38" s="1"/>
  <c r="F102" i="38" s="1"/>
  <c r="E34" i="38"/>
  <c r="E51" i="38" s="1"/>
  <c r="E68" i="38" s="1"/>
  <c r="E102" i="38" s="1"/>
  <c r="D34" i="38"/>
  <c r="D51" i="38" s="1"/>
  <c r="D68" i="38" s="1"/>
  <c r="D102" i="38" s="1"/>
  <c r="D136" i="38" s="1"/>
  <c r="D119" i="38" s="1"/>
  <c r="C34" i="38"/>
  <c r="C51" i="38" s="1"/>
  <c r="C68" i="38" s="1"/>
  <c r="C102" i="38" s="1"/>
  <c r="B34" i="38"/>
  <c r="B51" i="38" s="1"/>
  <c r="B68" i="38" s="1"/>
  <c r="B102" i="38" s="1"/>
  <c r="K35" i="37"/>
  <c r="K52" i="37" s="1"/>
  <c r="K69" i="37" s="1"/>
  <c r="K103" i="37" s="1"/>
  <c r="J35" i="37"/>
  <c r="J52" i="37" s="1"/>
  <c r="J69" i="37" s="1"/>
  <c r="J103" i="37" s="1"/>
  <c r="I35" i="37"/>
  <c r="I52" i="37" s="1"/>
  <c r="I69" i="37" s="1"/>
  <c r="I103" i="37" s="1"/>
  <c r="H35" i="37"/>
  <c r="H52" i="37" s="1"/>
  <c r="H69" i="37" s="1"/>
  <c r="H103" i="37" s="1"/>
  <c r="G35" i="37"/>
  <c r="G52" i="37" s="1"/>
  <c r="G69" i="37" s="1"/>
  <c r="G103" i="37" s="1"/>
  <c r="F35" i="37"/>
  <c r="F52" i="37" s="1"/>
  <c r="F69" i="37" s="1"/>
  <c r="F103" i="37" s="1"/>
  <c r="E35" i="37"/>
  <c r="E52" i="37" s="1"/>
  <c r="E69" i="37" s="1"/>
  <c r="E103" i="37" s="1"/>
  <c r="D35" i="37"/>
  <c r="D52" i="37" s="1"/>
  <c r="D69" i="37" s="1"/>
  <c r="D103" i="37" s="1"/>
  <c r="C35" i="37"/>
  <c r="C52" i="37" s="1"/>
  <c r="C69" i="37" s="1"/>
  <c r="C103" i="37" s="1"/>
  <c r="B35" i="37"/>
  <c r="B52" i="37" s="1"/>
  <c r="B69" i="37" s="1"/>
  <c r="B103" i="37" s="1"/>
  <c r="K34" i="37"/>
  <c r="K51" i="37" s="1"/>
  <c r="K68" i="37" s="1"/>
  <c r="K102" i="37" s="1"/>
  <c r="J34" i="37"/>
  <c r="J51" i="37" s="1"/>
  <c r="J68" i="37" s="1"/>
  <c r="J102" i="37" s="1"/>
  <c r="I34" i="37"/>
  <c r="I51" i="37" s="1"/>
  <c r="I68" i="37" s="1"/>
  <c r="I102" i="37" s="1"/>
  <c r="H34" i="37"/>
  <c r="H51" i="37" s="1"/>
  <c r="H68" i="37" s="1"/>
  <c r="H102" i="37" s="1"/>
  <c r="G34" i="37"/>
  <c r="G51" i="37" s="1"/>
  <c r="G68" i="37" s="1"/>
  <c r="G102" i="37" s="1"/>
  <c r="F34" i="37"/>
  <c r="F51" i="37" s="1"/>
  <c r="F68" i="37" s="1"/>
  <c r="F102" i="37" s="1"/>
  <c r="E34" i="37"/>
  <c r="E51" i="37" s="1"/>
  <c r="E68" i="37" s="1"/>
  <c r="E102" i="37" s="1"/>
  <c r="D34" i="37"/>
  <c r="D51" i="37" s="1"/>
  <c r="D68" i="37" s="1"/>
  <c r="D102" i="37" s="1"/>
  <c r="C34" i="37"/>
  <c r="C51" i="37" s="1"/>
  <c r="C68" i="37" s="1"/>
  <c r="C102" i="37" s="1"/>
  <c r="B34" i="37"/>
  <c r="B51" i="37" s="1"/>
  <c r="B68" i="37" s="1"/>
  <c r="B102" i="37" s="1"/>
  <c r="K35" i="36"/>
  <c r="K52" i="36" s="1"/>
  <c r="K69" i="36" s="1"/>
  <c r="K103" i="36" s="1"/>
  <c r="J35" i="36"/>
  <c r="J52" i="36" s="1"/>
  <c r="J69" i="36" s="1"/>
  <c r="J103" i="36" s="1"/>
  <c r="I35" i="36"/>
  <c r="I52" i="36" s="1"/>
  <c r="I69" i="36" s="1"/>
  <c r="I103" i="36" s="1"/>
  <c r="H35" i="36"/>
  <c r="H52" i="36" s="1"/>
  <c r="H69" i="36" s="1"/>
  <c r="H103" i="36" s="1"/>
  <c r="G35" i="36"/>
  <c r="G52" i="36" s="1"/>
  <c r="G69" i="36" s="1"/>
  <c r="G103" i="36" s="1"/>
  <c r="F35" i="36"/>
  <c r="F52" i="36" s="1"/>
  <c r="F69" i="36" s="1"/>
  <c r="F103" i="36" s="1"/>
  <c r="E35" i="36"/>
  <c r="E52" i="36" s="1"/>
  <c r="E69" i="36" s="1"/>
  <c r="E103" i="36" s="1"/>
  <c r="D35" i="36"/>
  <c r="D52" i="36" s="1"/>
  <c r="D69" i="36" s="1"/>
  <c r="D103" i="36" s="1"/>
  <c r="D137" i="36" s="1"/>
  <c r="D120" i="36" s="1"/>
  <c r="D154" i="36" s="1"/>
  <c r="C35" i="36"/>
  <c r="C52" i="36" s="1"/>
  <c r="C69" i="36" s="1"/>
  <c r="C103" i="36" s="1"/>
  <c r="B35" i="36"/>
  <c r="B52" i="36" s="1"/>
  <c r="B69" i="36" s="1"/>
  <c r="B103" i="36" s="1"/>
  <c r="K34" i="36"/>
  <c r="K51" i="36" s="1"/>
  <c r="K68" i="36" s="1"/>
  <c r="K102" i="36" s="1"/>
  <c r="J34" i="36"/>
  <c r="J51" i="36" s="1"/>
  <c r="J68" i="36" s="1"/>
  <c r="J102" i="36" s="1"/>
  <c r="I34" i="36"/>
  <c r="I51" i="36" s="1"/>
  <c r="I68" i="36" s="1"/>
  <c r="I102" i="36" s="1"/>
  <c r="H34" i="36"/>
  <c r="H51" i="36" s="1"/>
  <c r="H68" i="36" s="1"/>
  <c r="H102" i="36" s="1"/>
  <c r="G34" i="36"/>
  <c r="G51" i="36" s="1"/>
  <c r="G68" i="36" s="1"/>
  <c r="G102" i="36" s="1"/>
  <c r="F34" i="36"/>
  <c r="F51" i="36" s="1"/>
  <c r="F68" i="36" s="1"/>
  <c r="F102" i="36" s="1"/>
  <c r="E34" i="36"/>
  <c r="E51" i="36" s="1"/>
  <c r="E68" i="36" s="1"/>
  <c r="E102" i="36" s="1"/>
  <c r="D34" i="36"/>
  <c r="D51" i="36" s="1"/>
  <c r="D68" i="36" s="1"/>
  <c r="D102" i="36" s="1"/>
  <c r="C34" i="36"/>
  <c r="C51" i="36" s="1"/>
  <c r="C68" i="36" s="1"/>
  <c r="C102" i="36" s="1"/>
  <c r="B34" i="36"/>
  <c r="B51" i="36" s="1"/>
  <c r="B68" i="36" s="1"/>
  <c r="B102" i="36" s="1"/>
  <c r="A30" i="13"/>
  <c r="A29" i="13"/>
  <c r="A28" i="13"/>
  <c r="A27" i="13"/>
  <c r="A26" i="13"/>
  <c r="A25" i="13"/>
  <c r="A24" i="13"/>
  <c r="A23" i="13"/>
  <c r="A22" i="13"/>
  <c r="A21" i="13"/>
  <c r="A20" i="13"/>
  <c r="A19" i="13"/>
  <c r="K35" i="35"/>
  <c r="K52" i="35" s="1"/>
  <c r="J35" i="35"/>
  <c r="J52" i="35" s="1"/>
  <c r="I35" i="35"/>
  <c r="I52" i="35" s="1"/>
  <c r="H35" i="35"/>
  <c r="H52" i="35" s="1"/>
  <c r="H69" i="35" s="1"/>
  <c r="H103" i="35" s="1"/>
  <c r="G35" i="35"/>
  <c r="G52" i="35" s="1"/>
  <c r="F35" i="35"/>
  <c r="F52" i="35" s="1"/>
  <c r="E35" i="35"/>
  <c r="E52" i="35" s="1"/>
  <c r="E69" i="35" s="1"/>
  <c r="E103" i="35" s="1"/>
  <c r="D35" i="35"/>
  <c r="D52" i="35" s="1"/>
  <c r="C35" i="35"/>
  <c r="C52" i="35" s="1"/>
  <c r="B35" i="35"/>
  <c r="B52" i="35" s="1"/>
  <c r="K34" i="35"/>
  <c r="K51" i="35" s="1"/>
  <c r="J34" i="35"/>
  <c r="J51" i="35" s="1"/>
  <c r="I34" i="35"/>
  <c r="I51" i="35" s="1"/>
  <c r="H34" i="35"/>
  <c r="H51" i="35" s="1"/>
  <c r="H68" i="35" s="1"/>
  <c r="H102" i="35" s="1"/>
  <c r="G34" i="35"/>
  <c r="G51" i="35" s="1"/>
  <c r="G68" i="35" s="1"/>
  <c r="G102" i="35" s="1"/>
  <c r="F34" i="35"/>
  <c r="F51" i="35" s="1"/>
  <c r="E34" i="35"/>
  <c r="E51" i="35" s="1"/>
  <c r="D34" i="35"/>
  <c r="D51" i="35" s="1"/>
  <c r="C34" i="35"/>
  <c r="C51" i="35" s="1"/>
  <c r="B34" i="35"/>
  <c r="B51" i="35" s="1"/>
  <c r="B68" i="35" s="1"/>
  <c r="B102" i="35" s="1"/>
  <c r="E12" i="41" l="1"/>
  <c r="E14" i="41" s="1"/>
  <c r="J220" i="42" s="1"/>
  <c r="D19" i="43"/>
  <c r="D52" i="2"/>
  <c r="B67" i="2" s="1"/>
  <c r="D86" i="36"/>
  <c r="F136" i="38"/>
  <c r="F119" i="38" s="1"/>
  <c r="F85" i="38"/>
  <c r="D137" i="38"/>
  <c r="D120" i="38" s="1"/>
  <c r="D154" i="38" s="1"/>
  <c r="D86" i="38"/>
  <c r="H136" i="38"/>
  <c r="H119" i="38" s="1"/>
  <c r="H85" i="38"/>
  <c r="F137" i="38"/>
  <c r="F120" i="38" s="1"/>
  <c r="F154" i="38" s="1"/>
  <c r="F86" i="38"/>
  <c r="I136" i="38"/>
  <c r="I119" i="38" s="1"/>
  <c r="I85" i="38"/>
  <c r="G136" i="38"/>
  <c r="G119" i="38" s="1"/>
  <c r="G85" i="38"/>
  <c r="B136" i="38"/>
  <c r="B119" i="38" s="1"/>
  <c r="B85" i="38"/>
  <c r="J136" i="38"/>
  <c r="J119" i="38" s="1"/>
  <c r="J85" i="38"/>
  <c r="C136" i="38"/>
  <c r="C119" i="38" s="1"/>
  <c r="C85" i="38"/>
  <c r="K85" i="38"/>
  <c r="K136" i="38"/>
  <c r="K119" i="38" s="1"/>
  <c r="I86" i="38"/>
  <c r="I137" i="38"/>
  <c r="I120" i="38" s="1"/>
  <c r="I154" i="38" s="1"/>
  <c r="E137" i="38"/>
  <c r="E120" i="38" s="1"/>
  <c r="E154" i="38" s="1"/>
  <c r="E86" i="38"/>
  <c r="J137" i="38"/>
  <c r="J120" i="38" s="1"/>
  <c r="J154" i="38" s="1"/>
  <c r="J86" i="38"/>
  <c r="E136" i="38"/>
  <c r="E119" i="38" s="1"/>
  <c r="E85" i="38"/>
  <c r="H137" i="38"/>
  <c r="H120" i="38" s="1"/>
  <c r="H154" i="38" s="1"/>
  <c r="H86" i="38"/>
  <c r="C86" i="38"/>
  <c r="C137" i="38"/>
  <c r="C120" i="38" s="1"/>
  <c r="C154" i="38" s="1"/>
  <c r="K86" i="38"/>
  <c r="K137" i="38"/>
  <c r="K120" i="38" s="1"/>
  <c r="K154" i="38" s="1"/>
  <c r="G137" i="38"/>
  <c r="G120" i="38" s="1"/>
  <c r="G154" i="38" s="1"/>
  <c r="G86" i="38"/>
  <c r="D85" i="38"/>
  <c r="B86" i="38"/>
  <c r="I136" i="37"/>
  <c r="I119" i="37" s="1"/>
  <c r="I85" i="37"/>
  <c r="G137" i="37"/>
  <c r="G120" i="37" s="1"/>
  <c r="G154" i="37" s="1"/>
  <c r="G86" i="37"/>
  <c r="H137" i="37"/>
  <c r="H120" i="37" s="1"/>
  <c r="H154" i="37" s="1"/>
  <c r="H86" i="37"/>
  <c r="F137" i="37"/>
  <c r="F120" i="37" s="1"/>
  <c r="F154" i="37" s="1"/>
  <c r="F86" i="37"/>
  <c r="C136" i="37"/>
  <c r="C119" i="37" s="1"/>
  <c r="C85" i="37"/>
  <c r="K136" i="37"/>
  <c r="K119" i="37" s="1"/>
  <c r="K85" i="37"/>
  <c r="I137" i="37"/>
  <c r="I120" i="37" s="1"/>
  <c r="I154" i="37" s="1"/>
  <c r="I86" i="37"/>
  <c r="H136" i="37"/>
  <c r="H119" i="37" s="1"/>
  <c r="H85" i="37"/>
  <c r="D136" i="37"/>
  <c r="D119" i="37" s="1"/>
  <c r="D85" i="37"/>
  <c r="B137" i="37"/>
  <c r="B120" i="37" s="1"/>
  <c r="B154" i="37" s="1"/>
  <c r="B86" i="37"/>
  <c r="J137" i="37"/>
  <c r="J120" i="37" s="1"/>
  <c r="J154" i="37" s="1"/>
  <c r="J86" i="37"/>
  <c r="E136" i="37"/>
  <c r="E119" i="37" s="1"/>
  <c r="E85" i="37"/>
  <c r="C137" i="37"/>
  <c r="C120" i="37" s="1"/>
  <c r="C154" i="37" s="1"/>
  <c r="C86" i="37"/>
  <c r="K137" i="37"/>
  <c r="K120" i="37" s="1"/>
  <c r="K154" i="37" s="1"/>
  <c r="K86" i="37"/>
  <c r="F136" i="37"/>
  <c r="F119" i="37" s="1"/>
  <c r="F85" i="37"/>
  <c r="D137" i="37"/>
  <c r="D120" i="37" s="1"/>
  <c r="D154" i="37" s="1"/>
  <c r="D86" i="37"/>
  <c r="B136" i="37"/>
  <c r="B119" i="37" s="1"/>
  <c r="B85" i="37"/>
  <c r="G136" i="37"/>
  <c r="G119" i="37" s="1"/>
  <c r="G85" i="37"/>
  <c r="E137" i="37"/>
  <c r="E120" i="37" s="1"/>
  <c r="E154" i="37" s="1"/>
  <c r="E86" i="37"/>
  <c r="J136" i="37"/>
  <c r="J119" i="37" s="1"/>
  <c r="J85" i="37"/>
  <c r="E136" i="36"/>
  <c r="E119" i="36" s="1"/>
  <c r="E85" i="36"/>
  <c r="C137" i="36"/>
  <c r="C120" i="36" s="1"/>
  <c r="C154" i="36" s="1"/>
  <c r="C86" i="36"/>
  <c r="K86" i="36"/>
  <c r="K137" i="36"/>
  <c r="K120" i="36" s="1"/>
  <c r="K154" i="36" s="1"/>
  <c r="G136" i="36"/>
  <c r="G119" i="36" s="1"/>
  <c r="G85" i="36"/>
  <c r="E137" i="36"/>
  <c r="E120" i="36" s="1"/>
  <c r="E154" i="36" s="1"/>
  <c r="E86" i="36"/>
  <c r="H136" i="36"/>
  <c r="H119" i="36" s="1"/>
  <c r="H85" i="36"/>
  <c r="F137" i="36"/>
  <c r="F120" i="36" s="1"/>
  <c r="F154" i="36" s="1"/>
  <c r="F86" i="36"/>
  <c r="G137" i="36"/>
  <c r="G120" i="36" s="1"/>
  <c r="G154" i="36" s="1"/>
  <c r="G86" i="36"/>
  <c r="B136" i="36"/>
  <c r="B119" i="36" s="1"/>
  <c r="B85" i="36"/>
  <c r="J136" i="36"/>
  <c r="J119" i="36" s="1"/>
  <c r="J85" i="36"/>
  <c r="K136" i="36"/>
  <c r="K119" i="36" s="1"/>
  <c r="K85" i="36"/>
  <c r="D136" i="36"/>
  <c r="D119" i="36" s="1"/>
  <c r="D85" i="36"/>
  <c r="B137" i="36"/>
  <c r="B120" i="36" s="1"/>
  <c r="B154" i="36" s="1"/>
  <c r="B86" i="36"/>
  <c r="J137" i="36"/>
  <c r="J120" i="36" s="1"/>
  <c r="J154" i="36" s="1"/>
  <c r="J86" i="36"/>
  <c r="I137" i="36"/>
  <c r="I120" i="36" s="1"/>
  <c r="I154" i="36" s="1"/>
  <c r="I86" i="36"/>
  <c r="F136" i="36"/>
  <c r="F119" i="36" s="1"/>
  <c r="F85" i="36"/>
  <c r="C136" i="36"/>
  <c r="C119" i="36" s="1"/>
  <c r="C85" i="36"/>
  <c r="H137" i="36"/>
  <c r="H120" i="36" s="1"/>
  <c r="H154" i="36" s="1"/>
  <c r="H86" i="36"/>
  <c r="I136" i="36"/>
  <c r="I119" i="36" s="1"/>
  <c r="I85" i="36"/>
  <c r="F69" i="35"/>
  <c r="F103" i="35" s="1"/>
  <c r="F86" i="35" s="1"/>
  <c r="K69" i="35"/>
  <c r="K103" i="35" s="1"/>
  <c r="K137" i="35" s="1"/>
  <c r="K120" i="35" s="1"/>
  <c r="K154" i="35" s="1"/>
  <c r="J68" i="35"/>
  <c r="J102" i="35" s="1"/>
  <c r="J136" i="35" s="1"/>
  <c r="J119" i="35" s="1"/>
  <c r="H85" i="35"/>
  <c r="H136" i="35"/>
  <c r="H119" i="35" s="1"/>
  <c r="H137" i="35"/>
  <c r="H120" i="35" s="1"/>
  <c r="H154" i="35" s="1"/>
  <c r="H86" i="35"/>
  <c r="D68" i="35"/>
  <c r="D102" i="35" s="1"/>
  <c r="B69" i="35"/>
  <c r="B103" i="35" s="1"/>
  <c r="B136" i="35"/>
  <c r="B119" i="35" s="1"/>
  <c r="B85" i="35"/>
  <c r="I68" i="35"/>
  <c r="I102" i="35" s="1"/>
  <c r="E68" i="35"/>
  <c r="E102" i="35" s="1"/>
  <c r="F68" i="35"/>
  <c r="F102" i="35" s="1"/>
  <c r="I69" i="35"/>
  <c r="I103" i="35" s="1"/>
  <c r="G136" i="35"/>
  <c r="G119" i="35" s="1"/>
  <c r="E137" i="35"/>
  <c r="E120" i="35" s="1"/>
  <c r="E154" i="35" s="1"/>
  <c r="E86" i="35"/>
  <c r="K68" i="35"/>
  <c r="K102" i="35" s="1"/>
  <c r="G69" i="35"/>
  <c r="G103" i="35" s="1"/>
  <c r="C69" i="35"/>
  <c r="C103" i="35" s="1"/>
  <c r="C68" i="35"/>
  <c r="C102" i="35" s="1"/>
  <c r="D69" i="35"/>
  <c r="D103" i="35" s="1"/>
  <c r="G85" i="35"/>
  <c r="J69" i="35"/>
  <c r="J103" i="35" s="1"/>
  <c r="J85" i="35" l="1"/>
  <c r="F137" i="35"/>
  <c r="F120" i="35" s="1"/>
  <c r="F154" i="35" s="1"/>
  <c r="K86" i="35"/>
  <c r="J137" i="35"/>
  <c r="J120" i="35" s="1"/>
  <c r="J154" i="35" s="1"/>
  <c r="J86" i="35"/>
  <c r="G137" i="35"/>
  <c r="G120" i="35" s="1"/>
  <c r="G154" i="35" s="1"/>
  <c r="G86" i="35"/>
  <c r="D137" i="35"/>
  <c r="D120" i="35" s="1"/>
  <c r="D154" i="35" s="1"/>
  <c r="D86" i="35"/>
  <c r="I136" i="35"/>
  <c r="I119" i="35" s="1"/>
  <c r="I85" i="35"/>
  <c r="F136" i="35"/>
  <c r="F119" i="35" s="1"/>
  <c r="F85" i="35"/>
  <c r="C136" i="35"/>
  <c r="C119" i="35" s="1"/>
  <c r="C85" i="35"/>
  <c r="C137" i="35"/>
  <c r="C120" i="35" s="1"/>
  <c r="C154" i="35" s="1"/>
  <c r="C86" i="35"/>
  <c r="B137" i="35"/>
  <c r="B120" i="35" s="1"/>
  <c r="B154" i="35" s="1"/>
  <c r="B86" i="35"/>
  <c r="E136" i="35"/>
  <c r="E119" i="35" s="1"/>
  <c r="E85" i="35"/>
  <c r="K136" i="35"/>
  <c r="K119" i="35" s="1"/>
  <c r="K85" i="35"/>
  <c r="I137" i="35"/>
  <c r="I120" i="35" s="1"/>
  <c r="I154" i="35" s="1"/>
  <c r="I86" i="35"/>
  <c r="D136" i="35"/>
  <c r="D119" i="35" s="1"/>
  <c r="D85" i="35"/>
  <c r="F50" i="1" l="1"/>
  <c r="B42" i="1" l="1"/>
  <c r="I43" i="1" l="1"/>
  <c r="J43" i="1" s="1"/>
  <c r="L5" i="12"/>
  <c r="C12" i="43" l="1"/>
  <c r="B23" i="49" s="1"/>
  <c r="B8" i="49"/>
  <c r="K43" i="1"/>
  <c r="J11" i="2"/>
  <c r="J26" i="4"/>
  <c r="J13" i="4"/>
  <c r="I26" i="4"/>
  <c r="I13" i="4"/>
  <c r="H26" i="4"/>
  <c r="H13" i="4"/>
  <c r="J16" i="4"/>
  <c r="J19" i="4" s="1"/>
  <c r="I16" i="4"/>
  <c r="I22" i="4" s="1"/>
  <c r="H16" i="4"/>
  <c r="H17" i="4" s="1"/>
  <c r="I40" i="4"/>
  <c r="J40" i="4"/>
  <c r="H40" i="4"/>
  <c r="I39" i="4"/>
  <c r="J39" i="4"/>
  <c r="H39" i="4"/>
  <c r="I38" i="4"/>
  <c r="J38" i="4"/>
  <c r="H38" i="4"/>
  <c r="I37" i="4"/>
  <c r="J37" i="4"/>
  <c r="H37" i="4"/>
  <c r="I36" i="4"/>
  <c r="J36" i="4"/>
  <c r="H36" i="4"/>
  <c r="H31" i="4"/>
  <c r="I31" i="4"/>
  <c r="J31" i="4"/>
  <c r="H32" i="4"/>
  <c r="I32" i="4"/>
  <c r="J32" i="4"/>
  <c r="H33" i="4"/>
  <c r="I33" i="4"/>
  <c r="J33" i="4"/>
  <c r="H34" i="4"/>
  <c r="I34" i="4"/>
  <c r="J34" i="4"/>
  <c r="H35" i="4"/>
  <c r="I35" i="4"/>
  <c r="J35" i="4"/>
  <c r="I30" i="4"/>
  <c r="J30" i="4"/>
  <c r="H30" i="4"/>
  <c r="I29" i="4"/>
  <c r="J29" i="4"/>
  <c r="H29" i="4"/>
  <c r="C29" i="4"/>
  <c r="D29" i="4"/>
  <c r="E29" i="4"/>
  <c r="F29" i="4"/>
  <c r="G29" i="4"/>
  <c r="C30" i="4"/>
  <c r="D30" i="4"/>
  <c r="E30" i="4"/>
  <c r="F30" i="4"/>
  <c r="G30" i="4"/>
  <c r="C31" i="4"/>
  <c r="D31" i="4"/>
  <c r="E31" i="4"/>
  <c r="F31" i="4"/>
  <c r="G31" i="4"/>
  <c r="C32" i="4"/>
  <c r="D32" i="4"/>
  <c r="E32" i="4"/>
  <c r="F32" i="4"/>
  <c r="G32" i="4"/>
  <c r="C33" i="4"/>
  <c r="D33" i="4"/>
  <c r="E33" i="4"/>
  <c r="F33" i="4"/>
  <c r="G33" i="4"/>
  <c r="C34" i="4"/>
  <c r="D34" i="4"/>
  <c r="E34" i="4"/>
  <c r="F34" i="4"/>
  <c r="G34" i="4"/>
  <c r="C35" i="4"/>
  <c r="D35" i="4"/>
  <c r="E35" i="4"/>
  <c r="F35" i="4"/>
  <c r="G35" i="4"/>
  <c r="C36" i="4"/>
  <c r="D36" i="4"/>
  <c r="E36" i="4"/>
  <c r="F36" i="4"/>
  <c r="G36" i="4"/>
  <c r="C37" i="4"/>
  <c r="D37" i="4"/>
  <c r="E37" i="4"/>
  <c r="F37" i="4"/>
  <c r="G37" i="4"/>
  <c r="C38" i="4"/>
  <c r="D38" i="4"/>
  <c r="E38" i="4"/>
  <c r="F38" i="4"/>
  <c r="G38" i="4"/>
  <c r="C39" i="4"/>
  <c r="D39" i="4"/>
  <c r="E39" i="4"/>
  <c r="F39" i="4"/>
  <c r="G39" i="4"/>
  <c r="C40" i="4"/>
  <c r="D40" i="4"/>
  <c r="E40" i="4"/>
  <c r="F40" i="4"/>
  <c r="G40" i="4"/>
  <c r="B40" i="4"/>
  <c r="B38" i="4"/>
  <c r="B37" i="4"/>
  <c r="B36" i="4"/>
  <c r="B35" i="4"/>
  <c r="B34" i="4"/>
  <c r="B33" i="4"/>
  <c r="B32" i="4"/>
  <c r="B31" i="4"/>
  <c r="B30" i="4"/>
  <c r="B29" i="4"/>
  <c r="B39" i="4"/>
  <c r="B30" i="2"/>
  <c r="B23" i="2"/>
  <c r="B26" i="2" s="1"/>
  <c r="B27" i="2" s="1"/>
  <c r="I14" i="4"/>
  <c r="J14" i="4"/>
  <c r="H14" i="4"/>
  <c r="C14" i="4"/>
  <c r="D14" i="4"/>
  <c r="E14" i="4"/>
  <c r="F14" i="4"/>
  <c r="G14" i="4"/>
  <c r="B14" i="4"/>
  <c r="C18" i="1"/>
  <c r="D18" i="1"/>
  <c r="E18" i="1"/>
  <c r="F18" i="1"/>
  <c r="G18" i="1"/>
  <c r="B18" i="1"/>
  <c r="C17" i="1"/>
  <c r="D17" i="1"/>
  <c r="E17" i="1"/>
  <c r="F17" i="1"/>
  <c r="G17" i="1"/>
  <c r="B17" i="1"/>
  <c r="C16" i="1"/>
  <c r="D16" i="1"/>
  <c r="E16" i="1"/>
  <c r="F16" i="1"/>
  <c r="G16" i="1"/>
  <c r="B16" i="1"/>
  <c r="C19" i="1"/>
  <c r="D19" i="1"/>
  <c r="E19" i="1"/>
  <c r="F19" i="1"/>
  <c r="G19" i="1"/>
  <c r="H19" i="1" s="1"/>
  <c r="I19" i="1" s="1"/>
  <c r="J19" i="1" s="1"/>
  <c r="K19" i="1" s="1"/>
  <c r="L19" i="1" s="1"/>
  <c r="M19" i="1" s="1"/>
  <c r="N19" i="1" s="1"/>
  <c r="O19" i="1" s="1"/>
  <c r="P19" i="1" s="1"/>
  <c r="Q19" i="1" s="1" a="1"/>
  <c r="Q19" i="1" s="1"/>
  <c r="R19" i="1" s="1" a="1"/>
  <c r="R19" i="1" s="1"/>
  <c r="S19" i="1" s="1" a="1"/>
  <c r="S19" i="1" s="1"/>
  <c r="B19" i="1"/>
  <c r="C16" i="4"/>
  <c r="C22" i="4" s="1"/>
  <c r="D16" i="4"/>
  <c r="D21" i="4" s="1"/>
  <c r="E16" i="4"/>
  <c r="E20" i="4" s="1"/>
  <c r="F16" i="4"/>
  <c r="F19" i="4" s="1"/>
  <c r="G16" i="4"/>
  <c r="G18" i="4" s="1"/>
  <c r="B16" i="4"/>
  <c r="B3" i="1"/>
  <c r="C3" i="1"/>
  <c r="D3" i="1"/>
  <c r="E3" i="1"/>
  <c r="F3" i="1"/>
  <c r="G3" i="1"/>
  <c r="H3" i="1"/>
  <c r="I3" i="1" s="1"/>
  <c r="J3" i="1" s="1"/>
  <c r="K3" i="1" s="1"/>
  <c r="L3" i="1" s="1"/>
  <c r="M3" i="1" s="1"/>
  <c r="N3" i="1" s="1"/>
  <c r="O3" i="1" s="1"/>
  <c r="P3" i="1" s="1"/>
  <c r="Q3" i="1" s="1"/>
  <c r="R3" i="1" s="1"/>
  <c r="S3" i="1" s="1"/>
  <c r="G51" i="1"/>
  <c r="F51" i="1" s="1"/>
  <c r="E5" i="2"/>
  <c r="E6" i="2"/>
  <c r="E7" i="2"/>
  <c r="E9" i="2"/>
  <c r="E11" i="2"/>
  <c r="E13" i="2"/>
  <c r="D5" i="2"/>
  <c r="D6" i="2"/>
  <c r="D7" i="2"/>
  <c r="D9" i="2"/>
  <c r="D11" i="2"/>
  <c r="D13" i="2"/>
  <c r="B53" i="49" l="1"/>
  <c r="B96" i="49" s="1"/>
  <c r="B83" i="49"/>
  <c r="L43" i="1"/>
  <c r="C8" i="49"/>
  <c r="F27" i="4"/>
  <c r="H27" i="4"/>
  <c r="J24" i="4"/>
  <c r="H24" i="4"/>
  <c r="H22" i="4"/>
  <c r="H21" i="4"/>
  <c r="H18" i="4"/>
  <c r="B28" i="2"/>
  <c r="H19" i="4"/>
  <c r="J27" i="4"/>
  <c r="I21" i="4"/>
  <c r="J18" i="4"/>
  <c r="I24" i="4"/>
  <c r="I27" i="4"/>
  <c r="J23" i="4"/>
  <c r="I18" i="4"/>
  <c r="B23" i="4"/>
  <c r="B27" i="4"/>
  <c r="I23" i="4"/>
  <c r="J20" i="4"/>
  <c r="I19" i="4"/>
  <c r="J21" i="4"/>
  <c r="J25" i="4"/>
  <c r="H23" i="4"/>
  <c r="I20" i="4"/>
  <c r="J17" i="4"/>
  <c r="I25" i="4"/>
  <c r="J22" i="4"/>
  <c r="H20" i="4"/>
  <c r="I17" i="4"/>
  <c r="H25" i="4"/>
  <c r="G27" i="4"/>
  <c r="E27" i="4"/>
  <c r="D27" i="4"/>
  <c r="C27" i="4"/>
  <c r="E19" i="4"/>
  <c r="F18" i="4"/>
  <c r="G17" i="4"/>
  <c r="G22" i="4"/>
  <c r="E18" i="4"/>
  <c r="E22" i="4"/>
  <c r="C18" i="4"/>
  <c r="G25" i="4"/>
  <c r="B22" i="4"/>
  <c r="G24" i="4"/>
  <c r="G20" i="4"/>
  <c r="E24" i="4"/>
  <c r="C21" i="4"/>
  <c r="F17" i="4"/>
  <c r="F25" i="4"/>
  <c r="B21" i="4"/>
  <c r="C20" i="4"/>
  <c r="D19" i="4"/>
  <c r="E17" i="4"/>
  <c r="E25" i="4"/>
  <c r="F24" i="4"/>
  <c r="G23" i="4"/>
  <c r="B20" i="4"/>
  <c r="C19" i="4"/>
  <c r="D18" i="4"/>
  <c r="D17" i="4"/>
  <c r="D25" i="4"/>
  <c r="F23" i="4"/>
  <c r="B19" i="4"/>
  <c r="B17" i="4"/>
  <c r="C17" i="4"/>
  <c r="C25" i="4"/>
  <c r="D24" i="4"/>
  <c r="E23" i="4"/>
  <c r="F22" i="4"/>
  <c r="G21" i="4"/>
  <c r="B18" i="4"/>
  <c r="D20" i="4"/>
  <c r="B25" i="4"/>
  <c r="C24" i="4"/>
  <c r="D23" i="4"/>
  <c r="F21" i="4"/>
  <c r="B24" i="4"/>
  <c r="C23" i="4"/>
  <c r="D22" i="4"/>
  <c r="E21" i="4"/>
  <c r="F20" i="4"/>
  <c r="G19" i="4"/>
  <c r="B41" i="1"/>
  <c r="B40" i="1"/>
  <c r="F23" i="12"/>
  <c r="G23" i="12"/>
  <c r="H23" i="12"/>
  <c r="I23" i="12"/>
  <c r="J23" i="12"/>
  <c r="E23" i="12"/>
  <c r="J19" i="12"/>
  <c r="I19" i="12"/>
  <c r="H19" i="12"/>
  <c r="G19" i="12"/>
  <c r="F19" i="12"/>
  <c r="E19" i="12"/>
  <c r="D19" i="12"/>
  <c r="J18" i="12"/>
  <c r="I18" i="12"/>
  <c r="H18" i="12"/>
  <c r="G18" i="12"/>
  <c r="F18" i="12"/>
  <c r="E18" i="12"/>
  <c r="D18" i="12"/>
  <c r="J17" i="12"/>
  <c r="I17" i="12"/>
  <c r="H17" i="12"/>
  <c r="G17" i="12"/>
  <c r="F17" i="12"/>
  <c r="E17" i="12"/>
  <c r="D17" i="12"/>
  <c r="J8" i="12"/>
  <c r="I8" i="12"/>
  <c r="H8" i="12"/>
  <c r="G8" i="12"/>
  <c r="F8" i="12"/>
  <c r="E51" i="1"/>
  <c r="D51" i="1" s="1"/>
  <c r="C51" i="1" s="1"/>
  <c r="B51" i="1" s="1"/>
  <c r="E50" i="1"/>
  <c r="D50" i="1" s="1"/>
  <c r="C50" i="1" s="1"/>
  <c r="B50" i="1" s="1"/>
  <c r="G50" i="1"/>
  <c r="H50" i="1" s="1"/>
  <c r="I50" i="1" s="1"/>
  <c r="J50" i="1" s="1"/>
  <c r="K50" i="1" s="1"/>
  <c r="L50" i="1" s="1"/>
  <c r="M50" i="1" s="1"/>
  <c r="N50" i="1" s="1"/>
  <c r="O50" i="1" s="1"/>
  <c r="P50" i="1" s="1"/>
  <c r="Q50" i="1" s="1"/>
  <c r="R50" i="1" s="1"/>
  <c r="S50" i="1" s="1"/>
  <c r="B109" i="49" l="1"/>
  <c r="C83" i="49"/>
  <c r="C254" i="6"/>
  <c r="K254" i="6"/>
  <c r="H254" i="6"/>
  <c r="D254" i="6"/>
  <c r="F254" i="6"/>
  <c r="E254" i="6"/>
  <c r="B254" i="6"/>
  <c r="B50" i="6"/>
  <c r="D15" i="22" s="1"/>
  <c r="I254" i="6"/>
  <c r="J254" i="6"/>
  <c r="G254" i="6"/>
  <c r="M43" i="1"/>
  <c r="D8" i="49"/>
  <c r="H20" i="12"/>
  <c r="J20" i="12"/>
  <c r="C67" i="6"/>
  <c r="B84" i="6"/>
  <c r="F15" i="22" s="1"/>
  <c r="K118" i="6"/>
  <c r="H33" i="22" s="1"/>
  <c r="I67" i="6"/>
  <c r="D135" i="6"/>
  <c r="C50" i="6"/>
  <c r="K135" i="6"/>
  <c r="I33" i="22" s="1"/>
  <c r="J50" i="6"/>
  <c r="I15" i="22"/>
  <c r="K16" i="6"/>
  <c r="B33" i="22" s="1"/>
  <c r="G169" i="6"/>
  <c r="H50" i="6"/>
  <c r="I33" i="6"/>
  <c r="I153" i="38" s="1"/>
  <c r="I170" i="38" s="1"/>
  <c r="I188" i="38" s="1"/>
  <c r="H152" i="6"/>
  <c r="I135" i="6"/>
  <c r="E50" i="6"/>
  <c r="J16" i="6"/>
  <c r="J153" i="37" s="1"/>
  <c r="J170" i="37" s="1"/>
  <c r="D67" i="6"/>
  <c r="C84" i="6"/>
  <c r="B152" i="6"/>
  <c r="J15" i="22" s="1"/>
  <c r="H101" i="6"/>
  <c r="G16" i="6"/>
  <c r="G153" i="37" s="1"/>
  <c r="G170" i="37" s="1"/>
  <c r="C33" i="6"/>
  <c r="C153" i="38" s="1"/>
  <c r="C170" i="38" s="1"/>
  <c r="C205" i="38" s="1"/>
  <c r="D33" i="6"/>
  <c r="D153" i="38" s="1"/>
  <c r="D170" i="38" s="1"/>
  <c r="D205" i="38" s="1"/>
  <c r="J101" i="6"/>
  <c r="G67" i="6"/>
  <c r="F169" i="6"/>
  <c r="F33" i="6"/>
  <c r="F153" i="38" s="1"/>
  <c r="F170" i="38" s="1"/>
  <c r="F188" i="38" s="1"/>
  <c r="H33" i="6"/>
  <c r="H153" i="38" s="1"/>
  <c r="H170" i="38" s="1"/>
  <c r="H205" i="38" s="1"/>
  <c r="C101" i="6"/>
  <c r="G50" i="6"/>
  <c r="K33" i="6"/>
  <c r="K153" i="38" s="1"/>
  <c r="K170" i="38" s="1"/>
  <c r="K205" i="38" s="1"/>
  <c r="J84" i="6"/>
  <c r="K50" i="6"/>
  <c r="D33" i="22" s="1"/>
  <c r="H118" i="6"/>
  <c r="F118" i="6"/>
  <c r="F101" i="6"/>
  <c r="H135" i="6"/>
  <c r="J152" i="6"/>
  <c r="C169" i="6"/>
  <c r="F67" i="6"/>
  <c r="E169" i="6"/>
  <c r="D118" i="6"/>
  <c r="J67" i="6"/>
  <c r="I84" i="6"/>
  <c r="D50" i="6"/>
  <c r="B33" i="6"/>
  <c r="E118" i="6"/>
  <c r="E33" i="6"/>
  <c r="E153" i="38" s="1"/>
  <c r="E170" i="38" s="1"/>
  <c r="E188" i="38" s="1"/>
  <c r="K152" i="6"/>
  <c r="J33" i="22" s="1"/>
  <c r="E152" i="6"/>
  <c r="C152" i="6"/>
  <c r="E67" i="6"/>
  <c r="I152" i="6"/>
  <c r="J135" i="6"/>
  <c r="D169" i="6"/>
  <c r="I16" i="6"/>
  <c r="I153" i="37" s="1"/>
  <c r="I170" i="37" s="1"/>
  <c r="K84" i="6"/>
  <c r="F33" i="22" s="1"/>
  <c r="H67" i="6"/>
  <c r="B101" i="6"/>
  <c r="G15" i="22" s="1"/>
  <c r="G135" i="6"/>
  <c r="F50" i="6"/>
  <c r="B67" i="6"/>
  <c r="E15" i="22" s="1"/>
  <c r="K169" i="6"/>
  <c r="K33" i="22" s="1"/>
  <c r="H84" i="6"/>
  <c r="G152" i="6"/>
  <c r="H16" i="6"/>
  <c r="H153" i="37" s="1"/>
  <c r="H170" i="37" s="1"/>
  <c r="B16" i="6"/>
  <c r="B153" i="37" s="1"/>
  <c r="B170" i="37" s="1"/>
  <c r="B188" i="37" s="1"/>
  <c r="B205" i="37" s="1"/>
  <c r="F84" i="6"/>
  <c r="G118" i="6"/>
  <c r="E16" i="6"/>
  <c r="E153" i="36" s="1"/>
  <c r="E170" i="36" s="1"/>
  <c r="G33" i="6"/>
  <c r="G153" i="38" s="1"/>
  <c r="G170" i="38" s="1"/>
  <c r="G205" i="38" s="1"/>
  <c r="B118" i="6"/>
  <c r="H15" i="22" s="1"/>
  <c r="B169" i="6"/>
  <c r="K15" i="22" s="1"/>
  <c r="E84" i="6"/>
  <c r="C135" i="6"/>
  <c r="D16" i="6"/>
  <c r="D153" i="37" s="1"/>
  <c r="D170" i="37" s="1"/>
  <c r="E101" i="6"/>
  <c r="I101" i="6"/>
  <c r="F16" i="6"/>
  <c r="F153" i="36" s="1"/>
  <c r="F170" i="36" s="1"/>
  <c r="J33" i="6"/>
  <c r="J153" i="38" s="1"/>
  <c r="J170" i="38" s="1"/>
  <c r="J188" i="38" s="1"/>
  <c r="E135" i="6"/>
  <c r="J169" i="6"/>
  <c r="I118" i="6"/>
  <c r="G84" i="6"/>
  <c r="F152" i="6"/>
  <c r="H169" i="6"/>
  <c r="I50" i="6"/>
  <c r="J118" i="6"/>
  <c r="D152" i="6"/>
  <c r="K67" i="6"/>
  <c r="E33" i="22" s="1"/>
  <c r="G101" i="6"/>
  <c r="I169" i="6"/>
  <c r="C16" i="6"/>
  <c r="C153" i="37" s="1"/>
  <c r="C170" i="37" s="1"/>
  <c r="C118" i="6"/>
  <c r="D101" i="6"/>
  <c r="F135" i="6"/>
  <c r="D84" i="6"/>
  <c r="K101" i="6"/>
  <c r="G33" i="22" s="1"/>
  <c r="F20" i="12"/>
  <c r="D20" i="12"/>
  <c r="E20" i="12"/>
  <c r="G20" i="12"/>
  <c r="I20" i="12"/>
  <c r="B52" i="1"/>
  <c r="C52" i="1"/>
  <c r="F52" i="1"/>
  <c r="E52" i="1"/>
  <c r="D52" i="1"/>
  <c r="H51" i="1"/>
  <c r="I51" i="1" s="1"/>
  <c r="J51" i="1" s="1"/>
  <c r="K51" i="1" s="1"/>
  <c r="L51" i="1" s="1"/>
  <c r="M51" i="1" s="1"/>
  <c r="N51" i="1" s="1"/>
  <c r="O51" i="1" s="1"/>
  <c r="P51" i="1" s="1"/>
  <c r="Q51" i="1" s="1"/>
  <c r="R51" i="1" s="1"/>
  <c r="S51" i="1" s="1"/>
  <c r="I21" i="12" l="1"/>
  <c r="D83" i="49"/>
  <c r="H21" i="12"/>
  <c r="N43" i="1"/>
  <c r="E8" i="49"/>
  <c r="J21" i="12"/>
  <c r="F21" i="12"/>
  <c r="E21" i="12"/>
  <c r="C41" i="1" s="1"/>
  <c r="H188" i="38"/>
  <c r="G153" i="35"/>
  <c r="G170" i="35" s="1"/>
  <c r="G205" i="35" s="1"/>
  <c r="B153" i="35"/>
  <c r="B170" i="35" s="1"/>
  <c r="E153" i="37"/>
  <c r="E170" i="37" s="1"/>
  <c r="E205" i="37" s="1"/>
  <c r="J153" i="36"/>
  <c r="J170" i="36" s="1"/>
  <c r="J205" i="36" s="1"/>
  <c r="G188" i="38"/>
  <c r="I153" i="36"/>
  <c r="I170" i="36" s="1"/>
  <c r="I205" i="36" s="1"/>
  <c r="D153" i="35"/>
  <c r="D170" i="35" s="1"/>
  <c r="D188" i="35" s="1"/>
  <c r="F153" i="37"/>
  <c r="F170" i="37" s="1"/>
  <c r="F188" i="37" s="1"/>
  <c r="D188" i="38"/>
  <c r="E205" i="38"/>
  <c r="K188" i="38"/>
  <c r="B153" i="36"/>
  <c r="B170" i="36" s="1"/>
  <c r="B188" i="36" s="1"/>
  <c r="B205" i="36" s="1"/>
  <c r="K153" i="36"/>
  <c r="K170" i="36" s="1"/>
  <c r="K188" i="36" s="1"/>
  <c r="C33" i="22"/>
  <c r="J153" i="35"/>
  <c r="J170" i="35" s="1"/>
  <c r="J205" i="35" s="1"/>
  <c r="I153" i="35"/>
  <c r="I170" i="35" s="1"/>
  <c r="I205" i="35" s="1"/>
  <c r="H153" i="36"/>
  <c r="H170" i="36" s="1"/>
  <c r="H205" i="36" s="1"/>
  <c r="F205" i="38"/>
  <c r="G153" i="36"/>
  <c r="G170" i="36" s="1"/>
  <c r="G205" i="36" s="1"/>
  <c r="D153" i="36"/>
  <c r="D170" i="36" s="1"/>
  <c r="D205" i="36" s="1"/>
  <c r="H153" i="35"/>
  <c r="H170" i="35" s="1"/>
  <c r="H188" i="35" s="1"/>
  <c r="C188" i="38"/>
  <c r="B15" i="22"/>
  <c r="I205" i="38"/>
  <c r="E153" i="35"/>
  <c r="E170" i="35" s="1"/>
  <c r="E205" i="35" s="1"/>
  <c r="C153" i="36"/>
  <c r="C170" i="36" s="1"/>
  <c r="C205" i="36" s="1"/>
  <c r="J205" i="38"/>
  <c r="C153" i="35"/>
  <c r="C170" i="35" s="1"/>
  <c r="C188" i="35" s="1"/>
  <c r="K153" i="35"/>
  <c r="K170" i="35" s="1"/>
  <c r="K188" i="35" s="1"/>
  <c r="K153" i="37"/>
  <c r="K170" i="37" s="1"/>
  <c r="K205" i="37" s="1"/>
  <c r="B153" i="38"/>
  <c r="B170" i="38" s="1"/>
  <c r="B188" i="38" s="1"/>
  <c r="B205" i="38" s="1"/>
  <c r="C15" i="22"/>
  <c r="F153" i="35"/>
  <c r="F170" i="35" s="1"/>
  <c r="F188" i="35" s="1"/>
  <c r="G21" i="12"/>
  <c r="E188" i="36"/>
  <c r="E205" i="36"/>
  <c r="I205" i="37"/>
  <c r="I188" i="37"/>
  <c r="C188" i="37"/>
  <c r="C205" i="37"/>
  <c r="H205" i="37"/>
  <c r="H188" i="37"/>
  <c r="D205" i="37"/>
  <c r="D188" i="37"/>
  <c r="G205" i="37"/>
  <c r="G188" i="37"/>
  <c r="J205" i="37"/>
  <c r="J188" i="37"/>
  <c r="F205" i="36"/>
  <c r="F188" i="36"/>
  <c r="E188" i="37"/>
  <c r="G52" i="1"/>
  <c r="B188" i="35" l="1"/>
  <c r="B205" i="35" s="1"/>
  <c r="E83" i="49"/>
  <c r="D41" i="1"/>
  <c r="E41" i="1" s="1"/>
  <c r="F41" i="1" s="1"/>
  <c r="G41" i="1" s="1"/>
  <c r="O43" i="1"/>
  <c r="F8" i="49"/>
  <c r="F205" i="37"/>
  <c r="D205" i="35"/>
  <c r="G188" i="36"/>
  <c r="G188" i="35"/>
  <c r="K205" i="36"/>
  <c r="I188" i="36"/>
  <c r="H205" i="35"/>
  <c r="K188" i="37"/>
  <c r="K205" i="35"/>
  <c r="J188" i="36"/>
  <c r="D188" i="36"/>
  <c r="I188" i="35"/>
  <c r="C205" i="35"/>
  <c r="J188" i="35"/>
  <c r="H188" i="36"/>
  <c r="C188" i="36"/>
  <c r="E188" i="35"/>
  <c r="F205" i="35"/>
  <c r="H49" i="1"/>
  <c r="C13" i="4"/>
  <c r="D13" i="4"/>
  <c r="E13" i="4"/>
  <c r="F13" i="4"/>
  <c r="G13" i="4"/>
  <c r="B13" i="4"/>
  <c r="C26" i="4"/>
  <c r="D26" i="4"/>
  <c r="E26" i="4"/>
  <c r="F26" i="4"/>
  <c r="G26" i="4"/>
  <c r="B26" i="4"/>
  <c r="I3" i="4"/>
  <c r="J3" i="4"/>
  <c r="I4" i="4"/>
  <c r="J4" i="4"/>
  <c r="I5" i="4"/>
  <c r="J5" i="4"/>
  <c r="I6" i="4"/>
  <c r="J6" i="4"/>
  <c r="I7" i="4"/>
  <c r="J7" i="4"/>
  <c r="I8" i="4"/>
  <c r="J8" i="4"/>
  <c r="I9" i="4"/>
  <c r="J9" i="4"/>
  <c r="I10" i="4"/>
  <c r="J10" i="4"/>
  <c r="I11" i="4"/>
  <c r="J11" i="4"/>
  <c r="I12" i="4"/>
  <c r="J12" i="4"/>
  <c r="H12" i="4"/>
  <c r="H11" i="4"/>
  <c r="H10" i="4"/>
  <c r="H9" i="4"/>
  <c r="H8" i="4"/>
  <c r="H7" i="4"/>
  <c r="H6" i="4"/>
  <c r="H5" i="4"/>
  <c r="H4" i="4"/>
  <c r="H3" i="4"/>
  <c r="C3" i="4"/>
  <c r="D3" i="4"/>
  <c r="E3" i="4"/>
  <c r="F3" i="4"/>
  <c r="G3" i="4"/>
  <c r="C4" i="4"/>
  <c r="D4" i="4"/>
  <c r="E4" i="4"/>
  <c r="F4" i="4"/>
  <c r="G4" i="4"/>
  <c r="C5" i="4"/>
  <c r="D5" i="4"/>
  <c r="E5" i="4"/>
  <c r="F5" i="4"/>
  <c r="G5" i="4"/>
  <c r="C6" i="4"/>
  <c r="D6" i="4"/>
  <c r="E6" i="4"/>
  <c r="F6" i="4"/>
  <c r="G6" i="4"/>
  <c r="C7" i="4"/>
  <c r="D7" i="4"/>
  <c r="E7" i="4"/>
  <c r="F7" i="4"/>
  <c r="G7" i="4"/>
  <c r="C8" i="4"/>
  <c r="D8" i="4"/>
  <c r="E8" i="4"/>
  <c r="F8" i="4"/>
  <c r="G8" i="4"/>
  <c r="C9" i="4"/>
  <c r="D9" i="4"/>
  <c r="E9" i="4"/>
  <c r="F9" i="4"/>
  <c r="G9" i="4"/>
  <c r="C10" i="4"/>
  <c r="D10" i="4"/>
  <c r="E10" i="4"/>
  <c r="F10" i="4"/>
  <c r="G10" i="4"/>
  <c r="C11" i="4"/>
  <c r="D11" i="4"/>
  <c r="E11" i="4"/>
  <c r="F11" i="4"/>
  <c r="G11" i="4"/>
  <c r="C12" i="4"/>
  <c r="D12" i="4"/>
  <c r="E12" i="4"/>
  <c r="F12" i="4"/>
  <c r="G12" i="4"/>
  <c r="B12" i="4"/>
  <c r="B11" i="4"/>
  <c r="B10" i="4"/>
  <c r="B9" i="4"/>
  <c r="B8" i="4"/>
  <c r="B7" i="4"/>
  <c r="B6" i="4"/>
  <c r="B5" i="4"/>
  <c r="B4" i="4"/>
  <c r="C42" i="1"/>
  <c r="D42" i="1" s="1"/>
  <c r="E42" i="1" s="1"/>
  <c r="F42" i="1" s="1"/>
  <c r="G42" i="1" s="1"/>
  <c r="B39" i="1"/>
  <c r="C39" i="1" s="1"/>
  <c r="D39" i="1" s="1"/>
  <c r="E39" i="1" s="1"/>
  <c r="F39" i="1" s="1"/>
  <c r="G39" i="1" s="1"/>
  <c r="C14" i="1"/>
  <c r="D14" i="1" s="1"/>
  <c r="E14" i="1" s="1"/>
  <c r="F14" i="1" s="1"/>
  <c r="G14" i="1" s="1"/>
  <c r="H14" i="1" s="1"/>
  <c r="I14" i="1" s="1"/>
  <c r="J14" i="1" s="1"/>
  <c r="K14" i="1" s="1"/>
  <c r="L14" i="1" s="1"/>
  <c r="M14" i="1" s="1"/>
  <c r="N14" i="1" s="1"/>
  <c r="O14" i="1" s="1"/>
  <c r="P14" i="1" s="1"/>
  <c r="Q14" i="1" s="1"/>
  <c r="R14" i="1" s="1"/>
  <c r="S14" i="1" s="1"/>
  <c r="C11" i="1"/>
  <c r="D11" i="1" s="1"/>
  <c r="E11" i="1" s="1"/>
  <c r="F11" i="1" s="1"/>
  <c r="G11" i="1" s="1"/>
  <c r="H11" i="1" s="1"/>
  <c r="I11" i="1" s="1"/>
  <c r="J11" i="1" s="1"/>
  <c r="K11" i="1" s="1"/>
  <c r="L11" i="1" s="1"/>
  <c r="M11" i="1" s="1"/>
  <c r="N11" i="1" s="1"/>
  <c r="O11" i="1" s="1"/>
  <c r="P11" i="1" s="1"/>
  <c r="Q11" i="1" s="1"/>
  <c r="R11" i="1" s="1"/>
  <c r="S11" i="1" s="1"/>
  <c r="C10" i="1"/>
  <c r="D10" i="1" s="1"/>
  <c r="E10" i="1" s="1"/>
  <c r="F10" i="1" s="1"/>
  <c r="G10" i="1" s="1"/>
  <c r="H10" i="1" s="1"/>
  <c r="I10" i="1" s="1"/>
  <c r="J10" i="1" s="1"/>
  <c r="K10" i="1" s="1"/>
  <c r="L10" i="1" s="1"/>
  <c r="M10" i="1" s="1"/>
  <c r="N10" i="1" s="1"/>
  <c r="O10" i="1" s="1"/>
  <c r="P10" i="1" s="1"/>
  <c r="Q10" i="1" s="1"/>
  <c r="R10" i="1" s="1"/>
  <c r="S10" i="1" s="1"/>
  <c r="C9" i="1"/>
  <c r="D9" i="1" s="1"/>
  <c r="E9" i="1" s="1"/>
  <c r="F9" i="1" s="1"/>
  <c r="G9" i="1" s="1"/>
  <c r="H9" i="1" s="1"/>
  <c r="I9" i="1" s="1"/>
  <c r="J9" i="1" s="1"/>
  <c r="K9" i="1" s="1"/>
  <c r="L9" i="1" s="1"/>
  <c r="M9" i="1" s="1"/>
  <c r="N9" i="1" s="1"/>
  <c r="O9" i="1" s="1"/>
  <c r="P9" i="1" s="1"/>
  <c r="Q9" i="1" s="1"/>
  <c r="R9" i="1" s="1"/>
  <c r="S9" i="1" s="1"/>
  <c r="C8" i="1"/>
  <c r="D8" i="1" s="1"/>
  <c r="E8" i="1" s="1"/>
  <c r="F8" i="1" s="1"/>
  <c r="G8" i="1" s="1"/>
  <c r="H8" i="1" s="1"/>
  <c r="I8" i="1" s="1"/>
  <c r="J8" i="1" s="1"/>
  <c r="K8" i="1" s="1"/>
  <c r="L8" i="1" s="1"/>
  <c r="M8" i="1" s="1"/>
  <c r="N8" i="1" s="1"/>
  <c r="O8" i="1" s="1"/>
  <c r="P8" i="1" s="1"/>
  <c r="Q8" i="1" s="1"/>
  <c r="R8" i="1" s="1"/>
  <c r="S8" i="1" s="1"/>
  <c r="C7" i="1"/>
  <c r="D7" i="1" s="1"/>
  <c r="E7" i="1" s="1"/>
  <c r="F7" i="1" s="1"/>
  <c r="G7" i="1" s="1"/>
  <c r="H7" i="1" s="1"/>
  <c r="I7" i="1" s="1"/>
  <c r="J7" i="1" s="1"/>
  <c r="K7" i="1" s="1"/>
  <c r="L7" i="1" s="1"/>
  <c r="M7" i="1" s="1"/>
  <c r="N7" i="1" s="1"/>
  <c r="O7" i="1" s="1"/>
  <c r="P7" i="1" s="1"/>
  <c r="Q7" i="1" s="1"/>
  <c r="R7" i="1" s="1"/>
  <c r="S7" i="1" s="1"/>
  <c r="C5" i="1"/>
  <c r="D5" i="1" s="1"/>
  <c r="E5" i="1" s="1"/>
  <c r="F5" i="1" s="1"/>
  <c r="C6" i="1"/>
  <c r="D6" i="1" s="1"/>
  <c r="E6" i="1" s="1"/>
  <c r="F6" i="1" s="1"/>
  <c r="G6" i="1" s="1"/>
  <c r="H6" i="1" s="1"/>
  <c r="I6" i="1" s="1"/>
  <c r="J6" i="1" s="1"/>
  <c r="K6" i="1" s="1"/>
  <c r="L6" i="1" s="1"/>
  <c r="M6" i="1" s="1"/>
  <c r="N6" i="1" s="1"/>
  <c r="O6" i="1" s="1"/>
  <c r="P6" i="1" s="1"/>
  <c r="Q6" i="1" s="1"/>
  <c r="R6" i="1" s="1"/>
  <c r="S6" i="1" s="1"/>
  <c r="H17" i="1"/>
  <c r="I17" i="1" s="1"/>
  <c r="J17" i="1" s="1"/>
  <c r="K17" i="1" s="1"/>
  <c r="L17" i="1" s="1"/>
  <c r="M17" i="1" s="1"/>
  <c r="N17" i="1" s="1"/>
  <c r="O17" i="1" s="1"/>
  <c r="P17" i="1" s="1"/>
  <c r="Q17" i="1" s="1"/>
  <c r="R17" i="1" s="1"/>
  <c r="S17" i="1" s="1"/>
  <c r="H16" i="1"/>
  <c r="I16" i="1" s="1"/>
  <c r="J16" i="1" s="1"/>
  <c r="K16" i="1" s="1"/>
  <c r="L16" i="1" s="1"/>
  <c r="M16" i="1" s="1"/>
  <c r="N16" i="1" s="1"/>
  <c r="O16" i="1" s="1"/>
  <c r="P16" i="1" s="1"/>
  <c r="Q16" i="1" s="1"/>
  <c r="R16" i="1" s="1"/>
  <c r="S16" i="1" s="1"/>
  <c r="F83" i="49" l="1"/>
  <c r="H41" i="1"/>
  <c r="I41" i="1" s="1"/>
  <c r="J41" i="1" s="1"/>
  <c r="C10" i="43" s="1"/>
  <c r="B10" i="43"/>
  <c r="P43" i="1"/>
  <c r="G8" i="49"/>
  <c r="H39" i="1"/>
  <c r="I39" i="1" s="1"/>
  <c r="J39" i="1" s="1"/>
  <c r="B9" i="43"/>
  <c r="H42" i="1"/>
  <c r="I42" i="1" s="1"/>
  <c r="J42" i="1" s="1"/>
  <c r="B17" i="43"/>
  <c r="H18" i="1"/>
  <c r="I18" i="1" s="1"/>
  <c r="J18" i="1" s="1"/>
  <c r="C40" i="1"/>
  <c r="I49" i="1"/>
  <c r="H52" i="1"/>
  <c r="S15" i="1"/>
  <c r="O15" i="1"/>
  <c r="G15" i="1"/>
  <c r="N15" i="1"/>
  <c r="F15" i="1"/>
  <c r="H15" i="1"/>
  <c r="M15" i="1"/>
  <c r="E15" i="1"/>
  <c r="B15" i="1"/>
  <c r="L15" i="1"/>
  <c r="D15" i="1"/>
  <c r="K15" i="1"/>
  <c r="C15" i="1"/>
  <c r="R15" i="1"/>
  <c r="J15" i="1"/>
  <c r="P15" i="1"/>
  <c r="Q15" i="1"/>
  <c r="I15" i="1"/>
  <c r="G5" i="1"/>
  <c r="K41" i="1" l="1"/>
  <c r="B6" i="49"/>
  <c r="B81" i="49" s="1"/>
  <c r="B8" i="43"/>
  <c r="C14" i="43"/>
  <c r="C13" i="43" s="1"/>
  <c r="K13" i="43" s="1"/>
  <c r="B21" i="49"/>
  <c r="G83" i="49"/>
  <c r="B10" i="49"/>
  <c r="B9" i="49" s="1"/>
  <c r="B86" i="49" s="1"/>
  <c r="B5" i="49"/>
  <c r="B80" i="49" s="1"/>
  <c r="C9" i="43"/>
  <c r="Q43" i="1"/>
  <c r="H8" i="49"/>
  <c r="B13" i="49"/>
  <c r="C17" i="43"/>
  <c r="C20" i="43" s="1"/>
  <c r="L41" i="1"/>
  <c r="C6" i="49"/>
  <c r="C81" i="49" s="1"/>
  <c r="J46" i="1"/>
  <c r="K39" i="1"/>
  <c r="K42" i="1"/>
  <c r="K18" i="1"/>
  <c r="L18" i="1" s="1"/>
  <c r="M18" i="1" s="1"/>
  <c r="N18" i="1" s="1"/>
  <c r="O18" i="1" s="1"/>
  <c r="P18" i="1" s="1"/>
  <c r="Q18" i="1" s="1"/>
  <c r="R18" i="1" s="1"/>
  <c r="S18" i="1" s="1"/>
  <c r="J49" i="1"/>
  <c r="I52" i="1"/>
  <c r="D40" i="1"/>
  <c r="H5" i="1"/>
  <c r="B51" i="49" l="1"/>
  <c r="C8" i="43"/>
  <c r="Q8" i="43" s="1"/>
  <c r="E73" i="46" s="1"/>
  <c r="B20" i="49"/>
  <c r="H83" i="49"/>
  <c r="C10" i="49"/>
  <c r="C9" i="49" s="1"/>
  <c r="C86" i="49" s="1"/>
  <c r="C87" i="49" s="1"/>
  <c r="B4" i="49"/>
  <c r="B79" i="49" s="1"/>
  <c r="M41" i="1"/>
  <c r="D6" i="49"/>
  <c r="D81" i="49" s="1"/>
  <c r="L39" i="1"/>
  <c r="D5" i="49" s="1"/>
  <c r="C5" i="49"/>
  <c r="C80" i="49" s="1"/>
  <c r="R43" i="1"/>
  <c r="I8" i="49"/>
  <c r="L42" i="1"/>
  <c r="C13" i="49"/>
  <c r="E13" i="43"/>
  <c r="N13" i="43" s="1"/>
  <c r="K46" i="1"/>
  <c r="M13" i="43"/>
  <c r="I13" i="43"/>
  <c r="C74" i="46" s="1"/>
  <c r="O13" i="43"/>
  <c r="B4" i="46"/>
  <c r="B30" i="46"/>
  <c r="B50" i="46" s="1"/>
  <c r="B74" i="46" s="1"/>
  <c r="L46" i="1"/>
  <c r="E40" i="1"/>
  <c r="K49" i="1"/>
  <c r="J52" i="1"/>
  <c r="I5" i="1"/>
  <c r="B29" i="46" l="1"/>
  <c r="B49" i="46" s="1"/>
  <c r="B73" i="46" s="1"/>
  <c r="F74" i="46"/>
  <c r="Q13" i="43"/>
  <c r="B19" i="49"/>
  <c r="B49" i="49" s="1"/>
  <c r="B92" i="49" s="1"/>
  <c r="B50" i="49"/>
  <c r="B107" i="49"/>
  <c r="B94" i="49"/>
  <c r="I83" i="49"/>
  <c r="D80" i="49"/>
  <c r="C4" i="49"/>
  <c r="D10" i="49"/>
  <c r="D9" i="49" s="1"/>
  <c r="D86" i="49" s="1"/>
  <c r="D87" i="49" s="1"/>
  <c r="M39" i="1"/>
  <c r="E5" i="49" s="1"/>
  <c r="D4" i="49"/>
  <c r="S43" i="1"/>
  <c r="J8" i="49"/>
  <c r="L13" i="43"/>
  <c r="V13" i="43" s="1"/>
  <c r="B93" i="46" s="1"/>
  <c r="Y13" i="43"/>
  <c r="D93" i="46" s="1"/>
  <c r="M42" i="1"/>
  <c r="D13" i="49"/>
  <c r="N41" i="1"/>
  <c r="E6" i="49"/>
  <c r="E81" i="49" s="1"/>
  <c r="G13" i="43"/>
  <c r="F13" i="43"/>
  <c r="C50" i="46"/>
  <c r="D74" i="46" s="1"/>
  <c r="P13" i="43"/>
  <c r="W13" i="43" s="1"/>
  <c r="J13" i="43"/>
  <c r="E8" i="43"/>
  <c r="C49" i="46" s="1"/>
  <c r="D73" i="46" s="1"/>
  <c r="M8" i="43"/>
  <c r="O8" i="43"/>
  <c r="F73" i="46" s="1"/>
  <c r="I8" i="43"/>
  <c r="C73" i="46" s="1"/>
  <c r="B3" i="46"/>
  <c r="K8" i="43"/>
  <c r="G8" i="43"/>
  <c r="L49" i="1"/>
  <c r="K52" i="1"/>
  <c r="F40" i="1"/>
  <c r="J5" i="1"/>
  <c r="M46" i="1" l="1"/>
  <c r="N39" i="1"/>
  <c r="F5" i="49" s="1"/>
  <c r="F80" i="49" s="1"/>
  <c r="T13" i="43"/>
  <c r="C93" i="46" s="1"/>
  <c r="H13" i="43"/>
  <c r="R13" i="43"/>
  <c r="E74" i="46"/>
  <c r="B105" i="49"/>
  <c r="B93" i="49"/>
  <c r="B106" i="49"/>
  <c r="J83" i="49"/>
  <c r="E80" i="49"/>
  <c r="E4" i="49"/>
  <c r="D79" i="49"/>
  <c r="C79" i="49"/>
  <c r="E10" i="49"/>
  <c r="E9" i="49" s="1"/>
  <c r="E86" i="49" s="1"/>
  <c r="E87" i="49" s="1"/>
  <c r="N42" i="1"/>
  <c r="E13" i="49"/>
  <c r="D12" i="43"/>
  <c r="B45" i="43" s="1"/>
  <c r="K8" i="49"/>
  <c r="O41" i="1"/>
  <c r="F6" i="49"/>
  <c r="F81" i="49" s="1"/>
  <c r="U13" i="43"/>
  <c r="X13" i="43"/>
  <c r="E93" i="46" s="1"/>
  <c r="G40" i="1"/>
  <c r="M49" i="1"/>
  <c r="L52" i="1"/>
  <c r="K5" i="1"/>
  <c r="N46" i="1" l="1"/>
  <c r="O39" i="1"/>
  <c r="G5" i="49" s="1"/>
  <c r="G80" i="49"/>
  <c r="K83" i="49"/>
  <c r="F10" i="49"/>
  <c r="F9" i="49" s="1"/>
  <c r="F86" i="49" s="1"/>
  <c r="F87" i="49" s="1"/>
  <c r="E79" i="49"/>
  <c r="P41" i="1"/>
  <c r="G6" i="49"/>
  <c r="G81" i="49" s="1"/>
  <c r="C45" i="43"/>
  <c r="D45" i="43"/>
  <c r="N12" i="43" s="1"/>
  <c r="F4" i="49"/>
  <c r="O42" i="1"/>
  <c r="F13" i="49"/>
  <c r="P39" i="1"/>
  <c r="H5" i="49" s="1"/>
  <c r="O46" i="1"/>
  <c r="N49" i="1"/>
  <c r="M52" i="1"/>
  <c r="H40" i="1"/>
  <c r="L5" i="1"/>
  <c r="H12" i="43" l="1"/>
  <c r="G23" i="49"/>
  <c r="G53" i="49" s="1"/>
  <c r="J23" i="49"/>
  <c r="J53" i="49" s="1"/>
  <c r="H23" i="49"/>
  <c r="H53" i="49" s="1"/>
  <c r="F23" i="49"/>
  <c r="F53" i="49" s="1"/>
  <c r="C23" i="49"/>
  <c r="C53" i="49" s="1"/>
  <c r="D23" i="49"/>
  <c r="D53" i="49" s="1"/>
  <c r="K23" i="49"/>
  <c r="K53" i="49" s="1"/>
  <c r="K96" i="49" s="1"/>
  <c r="E23" i="49"/>
  <c r="E53" i="49" s="1"/>
  <c r="I23" i="49"/>
  <c r="I53" i="49" s="1"/>
  <c r="H80" i="49"/>
  <c r="F79" i="49"/>
  <c r="G10" i="49"/>
  <c r="G9" i="49" s="1"/>
  <c r="G86" i="49" s="1"/>
  <c r="G87" i="49" s="1"/>
  <c r="G4" i="49"/>
  <c r="P42" i="1"/>
  <c r="G13" i="49"/>
  <c r="Q41" i="1"/>
  <c r="H6" i="49"/>
  <c r="H81" i="49" s="1"/>
  <c r="Q39" i="1"/>
  <c r="I5" i="49" s="1"/>
  <c r="P46" i="1"/>
  <c r="I40" i="1"/>
  <c r="O49" i="1"/>
  <c r="N52" i="1"/>
  <c r="M5" i="1"/>
  <c r="K109" i="49" l="1"/>
  <c r="D96" i="49"/>
  <c r="D109" i="49"/>
  <c r="C96" i="49"/>
  <c r="C109" i="49"/>
  <c r="F96" i="49"/>
  <c r="F109" i="49"/>
  <c r="J96" i="49"/>
  <c r="J109" i="49"/>
  <c r="G96" i="49"/>
  <c r="G109" i="49"/>
  <c r="H96" i="49"/>
  <c r="H109" i="49"/>
  <c r="I96" i="49"/>
  <c r="I109" i="49"/>
  <c r="E96" i="49"/>
  <c r="E109" i="49"/>
  <c r="I80" i="49"/>
  <c r="G79" i="49"/>
  <c r="H10" i="49"/>
  <c r="H9" i="49" s="1"/>
  <c r="H86" i="49" s="1"/>
  <c r="H87" i="49" s="1"/>
  <c r="R41" i="1"/>
  <c r="I6" i="49"/>
  <c r="I81" i="49" s="1"/>
  <c r="H4" i="49"/>
  <c r="Q42" i="1"/>
  <c r="H13" i="49"/>
  <c r="R39" i="1"/>
  <c r="J5" i="49" s="1"/>
  <c r="Q46" i="1"/>
  <c r="J40" i="1"/>
  <c r="P49" i="1"/>
  <c r="O52" i="1"/>
  <c r="N5" i="1"/>
  <c r="L96" i="49" l="1"/>
  <c r="J80" i="49"/>
  <c r="I10" i="49"/>
  <c r="I9" i="49" s="1"/>
  <c r="I86" i="49" s="1"/>
  <c r="I87" i="49" s="1"/>
  <c r="H79" i="49"/>
  <c r="R42" i="1"/>
  <c r="I13" i="49"/>
  <c r="S41" i="1"/>
  <c r="J6" i="49"/>
  <c r="J81" i="49" s="1"/>
  <c r="I4" i="49"/>
  <c r="S39" i="1"/>
  <c r="K5" i="49" s="1"/>
  <c r="R46" i="1"/>
  <c r="K40" i="1"/>
  <c r="Q49" i="1"/>
  <c r="P52" i="1"/>
  <c r="O5" i="1"/>
  <c r="K80" i="49" l="1"/>
  <c r="J10" i="49"/>
  <c r="J9" i="49" s="1"/>
  <c r="J86" i="49" s="1"/>
  <c r="J87" i="49" s="1"/>
  <c r="I79" i="49"/>
  <c r="J4" i="49"/>
  <c r="D10" i="43"/>
  <c r="B43" i="43" s="1"/>
  <c r="K6" i="49"/>
  <c r="K81" i="49" s="1"/>
  <c r="S42" i="1"/>
  <c r="J13" i="49"/>
  <c r="S46" i="1"/>
  <c r="D9" i="43"/>
  <c r="L40" i="1"/>
  <c r="R49" i="1"/>
  <c r="Q52" i="1"/>
  <c r="P5" i="1"/>
  <c r="D14" i="43" l="1"/>
  <c r="D13" i="43" s="1"/>
  <c r="S13" i="43" s="1"/>
  <c r="C30" i="46" s="1"/>
  <c r="K10" i="49"/>
  <c r="K9" i="49" s="1"/>
  <c r="K86" i="49" s="1"/>
  <c r="K87" i="49" s="1"/>
  <c r="L87" i="49" s="1"/>
  <c r="J79" i="49"/>
  <c r="K4" i="49"/>
  <c r="K13" i="49"/>
  <c r="D17" i="43"/>
  <c r="D20" i="43" s="1"/>
  <c r="D43" i="43"/>
  <c r="N10" i="43" s="1"/>
  <c r="C43" i="43"/>
  <c r="H10" i="43" s="1"/>
  <c r="B42" i="43"/>
  <c r="D8" i="43"/>
  <c r="M40" i="1"/>
  <c r="S49" i="1"/>
  <c r="S52" i="1" s="1"/>
  <c r="R52" i="1"/>
  <c r="Q5" i="1"/>
  <c r="L8" i="43" l="1"/>
  <c r="V8" i="43" s="1"/>
  <c r="B92" i="46" s="1"/>
  <c r="R8" i="43"/>
  <c r="J21" i="49"/>
  <c r="J51" i="49" s="1"/>
  <c r="K21" i="49"/>
  <c r="K51" i="49" s="1"/>
  <c r="H21" i="49"/>
  <c r="H51" i="49" s="1"/>
  <c r="G21" i="49"/>
  <c r="G51" i="49" s="1"/>
  <c r="D21" i="49"/>
  <c r="D51" i="49" s="1"/>
  <c r="E21" i="49"/>
  <c r="E51" i="49" s="1"/>
  <c r="I21" i="49"/>
  <c r="I51" i="49" s="1"/>
  <c r="F21" i="49"/>
  <c r="F51" i="49" s="1"/>
  <c r="C21" i="49"/>
  <c r="C51" i="49" s="1"/>
  <c r="K79" i="49"/>
  <c r="D42" i="43"/>
  <c r="C42" i="43"/>
  <c r="F8" i="43"/>
  <c r="T8" i="43" s="1"/>
  <c r="C92" i="46" s="1"/>
  <c r="P8" i="43"/>
  <c r="W8" i="43" s="1"/>
  <c r="J8" i="43"/>
  <c r="U8" i="43" s="1"/>
  <c r="S8" i="43"/>
  <c r="C29" i="46" s="1"/>
  <c r="N40" i="1"/>
  <c r="R5" i="1"/>
  <c r="N9" i="43" l="1"/>
  <c r="N8" i="43" s="1"/>
  <c r="Y8" i="43" s="1"/>
  <c r="D92" i="46" s="1"/>
  <c r="H9" i="43"/>
  <c r="H8" i="43" s="1"/>
  <c r="X8" i="43" s="1"/>
  <c r="E92" i="46" s="1"/>
  <c r="J20" i="49"/>
  <c r="F20" i="49"/>
  <c r="C20" i="49"/>
  <c r="H20" i="49"/>
  <c r="D20" i="49"/>
  <c r="K20" i="49"/>
  <c r="G20" i="49"/>
  <c r="I20" i="49"/>
  <c r="E20" i="49"/>
  <c r="E94" i="49"/>
  <c r="E107" i="49"/>
  <c r="G107" i="49"/>
  <c r="G94" i="49"/>
  <c r="I107" i="49"/>
  <c r="I94" i="49"/>
  <c r="D94" i="49"/>
  <c r="D107" i="49"/>
  <c r="H107" i="49"/>
  <c r="H94" i="49"/>
  <c r="K107" i="49"/>
  <c r="K94" i="49"/>
  <c r="C94" i="49"/>
  <c r="C107" i="49"/>
  <c r="J107" i="49"/>
  <c r="J94" i="49"/>
  <c r="F107" i="49"/>
  <c r="F94" i="49"/>
  <c r="L108" i="49"/>
  <c r="L109" i="49"/>
  <c r="O40" i="1"/>
  <c r="S5" i="1"/>
  <c r="L107" i="49" l="1"/>
  <c r="J19" i="49"/>
  <c r="J49" i="49" s="1"/>
  <c r="J50" i="49"/>
  <c r="G50" i="49"/>
  <c r="G19" i="49"/>
  <c r="G49" i="49" s="1"/>
  <c r="K19" i="49"/>
  <c r="K49" i="49" s="1"/>
  <c r="K50" i="49"/>
  <c r="E50" i="49"/>
  <c r="E19" i="49"/>
  <c r="E49" i="49" s="1"/>
  <c r="L94" i="49"/>
  <c r="C50" i="49"/>
  <c r="C19" i="49"/>
  <c r="C49" i="49" s="1"/>
  <c r="I19" i="49"/>
  <c r="I49" i="49" s="1"/>
  <c r="I50" i="49"/>
  <c r="D50" i="49"/>
  <c r="D19" i="49"/>
  <c r="D49" i="49" s="1"/>
  <c r="H50" i="49"/>
  <c r="H19" i="49"/>
  <c r="H49" i="49" s="1"/>
  <c r="F50" i="49"/>
  <c r="F19" i="49"/>
  <c r="F49" i="49" s="1"/>
  <c r="P40" i="1"/>
  <c r="B13" i="1"/>
  <c r="C13" i="1" s="1"/>
  <c r="D13" i="1" s="1"/>
  <c r="E13" i="1" s="1"/>
  <c r="F13" i="1" s="1"/>
  <c r="G13" i="1" s="1"/>
  <c r="H13" i="1" s="1"/>
  <c r="I13" i="1" s="1"/>
  <c r="J13" i="1" s="1"/>
  <c r="K13" i="1" s="1"/>
  <c r="L13" i="1" s="1"/>
  <c r="M13" i="1" s="1"/>
  <c r="N13" i="1" s="1"/>
  <c r="O13" i="1" s="1"/>
  <c r="P13" i="1" s="1"/>
  <c r="Q13" i="1" s="1"/>
  <c r="R13" i="1" s="1"/>
  <c r="S13" i="1" s="1"/>
  <c r="B12" i="1"/>
  <c r="B20" i="1" s="1"/>
  <c r="D92" i="49" l="1"/>
  <c r="D105" i="49"/>
  <c r="E93" i="49"/>
  <c r="E106" i="49"/>
  <c r="G92" i="49"/>
  <c r="G105" i="49"/>
  <c r="H93" i="49"/>
  <c r="H106" i="49"/>
  <c r="K92" i="49"/>
  <c r="K105" i="49"/>
  <c r="C92" i="49"/>
  <c r="C105" i="49"/>
  <c r="G93" i="49"/>
  <c r="G106" i="49"/>
  <c r="D93" i="49"/>
  <c r="D106" i="49"/>
  <c r="I93" i="49"/>
  <c r="I106" i="49"/>
  <c r="F92" i="49"/>
  <c r="F105" i="49"/>
  <c r="F93" i="49"/>
  <c r="F106" i="49"/>
  <c r="C106" i="49"/>
  <c r="C93" i="49"/>
  <c r="J93" i="49"/>
  <c r="J106" i="49"/>
  <c r="E92" i="49"/>
  <c r="E105" i="49"/>
  <c r="K93" i="49"/>
  <c r="K106" i="49"/>
  <c r="I92" i="49"/>
  <c r="I105" i="49"/>
  <c r="H92" i="49"/>
  <c r="H105" i="49"/>
  <c r="J92" i="49"/>
  <c r="J105" i="49"/>
  <c r="Q40" i="1"/>
  <c r="C12" i="1"/>
  <c r="C20" i="1" s="1"/>
  <c r="C7" i="2"/>
  <c r="H5" i="2"/>
  <c r="H6" i="2"/>
  <c r="H7" i="2"/>
  <c r="H9" i="2"/>
  <c r="H11" i="2"/>
  <c r="H12" i="2"/>
  <c r="H13" i="2"/>
  <c r="B13" i="2"/>
  <c r="B11" i="2"/>
  <c r="B9" i="2"/>
  <c r="B5" i="2"/>
  <c r="B6" i="2"/>
  <c r="B7" i="2"/>
  <c r="L106" i="49" l="1"/>
  <c r="L105" i="49"/>
  <c r="L93" i="49"/>
  <c r="L92" i="49"/>
  <c r="D12" i="1"/>
  <c r="D20" i="1" s="1"/>
  <c r="C53" i="1"/>
  <c r="C45" i="1"/>
  <c r="R40" i="1"/>
  <c r="C44" i="1"/>
  <c r="E12" i="1" l="1"/>
  <c r="C37" i="1"/>
  <c r="C24" i="1" s="1"/>
  <c r="S40" i="1"/>
  <c r="D53" i="1"/>
  <c r="D45" i="1"/>
  <c r="D44" i="1"/>
  <c r="E20" i="1" l="1"/>
  <c r="E44" i="1" s="1"/>
  <c r="C32" i="1"/>
  <c r="C36" i="1"/>
  <c r="C31" i="1"/>
  <c r="C28" i="1"/>
  <c r="F12" i="1"/>
  <c r="C34" i="1"/>
  <c r="C30" i="1"/>
  <c r="C27" i="1"/>
  <c r="C33" i="1"/>
  <c r="C22" i="1"/>
  <c r="C35" i="1"/>
  <c r="C25" i="1"/>
  <c r="C26" i="1"/>
  <c r="C29" i="1"/>
  <c r="C23" i="1"/>
  <c r="D37" i="1"/>
  <c r="E45" i="1" l="1"/>
  <c r="F20" i="1"/>
  <c r="F45" i="1" s="1"/>
  <c r="E53" i="1"/>
  <c r="D24" i="1"/>
  <c r="D36" i="1"/>
  <c r="D35" i="1"/>
  <c r="G12" i="1"/>
  <c r="D31" i="1"/>
  <c r="D22" i="1"/>
  <c r="D33" i="1"/>
  <c r="D30" i="1"/>
  <c r="D34" i="1"/>
  <c r="D28" i="1"/>
  <c r="D23" i="1"/>
  <c r="D25" i="1"/>
  <c r="D27" i="1"/>
  <c r="D29" i="1"/>
  <c r="D26" i="1"/>
  <c r="D32" i="1"/>
  <c r="E37" i="1" l="1"/>
  <c r="E29" i="1" s="1"/>
  <c r="F44" i="1"/>
  <c r="F53" i="1"/>
  <c r="F37" i="1" s="1"/>
  <c r="G20" i="1"/>
  <c r="G53" i="1" s="1"/>
  <c r="E26" i="1"/>
  <c r="E36" i="1"/>
  <c r="E28" i="1"/>
  <c r="E31" i="1"/>
  <c r="E33" i="1"/>
  <c r="E25" i="1"/>
  <c r="E22" i="1"/>
  <c r="E34" i="1"/>
  <c r="E30" i="1"/>
  <c r="H12" i="1"/>
  <c r="E27" i="1"/>
  <c r="E24" i="1"/>
  <c r="E35" i="1"/>
  <c r="E32" i="1"/>
  <c r="E23" i="1"/>
  <c r="F29" i="1" l="1"/>
  <c r="F33" i="1"/>
  <c r="F27" i="1"/>
  <c r="F25" i="1"/>
  <c r="F28" i="1"/>
  <c r="F22" i="1"/>
  <c r="F32" i="1"/>
  <c r="F24" i="1"/>
  <c r="F34" i="1"/>
  <c r="F31" i="1"/>
  <c r="F30" i="1"/>
  <c r="F26" i="1"/>
  <c r="F36" i="1"/>
  <c r="F35" i="1"/>
  <c r="F23" i="1"/>
  <c r="H20" i="1"/>
  <c r="H45" i="1" s="1"/>
  <c r="G44" i="1"/>
  <c r="G45" i="1"/>
  <c r="G37" i="1" s="1"/>
  <c r="I12" i="1"/>
  <c r="G30" i="1" l="1"/>
  <c r="B7" i="43"/>
  <c r="B21" i="43" s="1"/>
  <c r="B16" i="43" s="1"/>
  <c r="G32" i="1"/>
  <c r="G24" i="1"/>
  <c r="G27" i="1"/>
  <c r="G36" i="1"/>
  <c r="H44" i="1"/>
  <c r="G33" i="1"/>
  <c r="G25" i="1"/>
  <c r="G29" i="1"/>
  <c r="G23" i="1"/>
  <c r="G26" i="1"/>
  <c r="G34" i="1"/>
  <c r="G35" i="1"/>
  <c r="G22" i="1"/>
  <c r="B33" i="2" s="1"/>
  <c r="G28" i="1"/>
  <c r="G31" i="1"/>
  <c r="I20" i="1"/>
  <c r="I45" i="1" s="1"/>
  <c r="H53" i="1"/>
  <c r="H37" i="1" s="1"/>
  <c r="H34" i="1" s="1"/>
  <c r="J12" i="1"/>
  <c r="J20" i="1" s="1"/>
  <c r="J45" i="1" s="1"/>
  <c r="H36" i="1" l="1"/>
  <c r="J44" i="1"/>
  <c r="J53" i="1"/>
  <c r="J37" i="1" s="1"/>
  <c r="K12" i="1"/>
  <c r="K20" i="1" s="1"/>
  <c r="K53" i="1" s="1"/>
  <c r="H29" i="1"/>
  <c r="H28" i="1"/>
  <c r="H26" i="1"/>
  <c r="H33" i="1"/>
  <c r="H24" i="1"/>
  <c r="H35" i="1"/>
  <c r="H31" i="1"/>
  <c r="H25" i="1"/>
  <c r="H22" i="1"/>
  <c r="F11" i="2"/>
  <c r="I5" i="2"/>
  <c r="H23" i="1"/>
  <c r="I44" i="1"/>
  <c r="I53" i="1"/>
  <c r="I37" i="1" s="1"/>
  <c r="H27" i="1"/>
  <c r="H30" i="1"/>
  <c r="H32" i="1"/>
  <c r="B3" i="49" l="1"/>
  <c r="B14" i="49" s="1"/>
  <c r="C7" i="43"/>
  <c r="B4" i="5"/>
  <c r="L12" i="1"/>
  <c r="L20" i="1" s="1"/>
  <c r="L53" i="1" s="1"/>
  <c r="I13" i="2"/>
  <c r="I4" i="2"/>
  <c r="K44" i="1"/>
  <c r="J5" i="2"/>
  <c r="I9" i="2"/>
  <c r="K45" i="1"/>
  <c r="K37" i="1" s="1"/>
  <c r="I7" i="2"/>
  <c r="I6" i="2"/>
  <c r="I8" i="2"/>
  <c r="I10" i="2"/>
  <c r="I12" i="2"/>
  <c r="I35" i="1"/>
  <c r="I32" i="1"/>
  <c r="I24" i="1"/>
  <c r="I33" i="1"/>
  <c r="I25" i="1"/>
  <c r="I23" i="1"/>
  <c r="I34" i="1"/>
  <c r="I27" i="1"/>
  <c r="I29" i="1"/>
  <c r="I22" i="1"/>
  <c r="I28" i="1"/>
  <c r="I30" i="1"/>
  <c r="I26" i="1"/>
  <c r="I36" i="1"/>
  <c r="I31" i="1"/>
  <c r="J36" i="1"/>
  <c r="J35" i="1"/>
  <c r="J30" i="1"/>
  <c r="J29" i="1"/>
  <c r="J31" i="1"/>
  <c r="J27" i="1"/>
  <c r="J25" i="1"/>
  <c r="J34" i="1"/>
  <c r="J33" i="1"/>
  <c r="J26" i="1"/>
  <c r="J28" i="1"/>
  <c r="J22" i="1"/>
  <c r="J23" i="1"/>
  <c r="J24" i="1"/>
  <c r="J32" i="1"/>
  <c r="L44" i="1"/>
  <c r="B77" i="49" l="1"/>
  <c r="B197" i="6"/>
  <c r="B231" i="6"/>
  <c r="B129" i="6"/>
  <c r="C129" i="6" s="1"/>
  <c r="B265" i="6"/>
  <c r="B95" i="6"/>
  <c r="B180" i="6"/>
  <c r="B214" i="6"/>
  <c r="B250" i="6"/>
  <c r="B216" i="6"/>
  <c r="B182" i="6"/>
  <c r="B244" i="6"/>
  <c r="B6" i="6"/>
  <c r="B210" i="6"/>
  <c r="B176" i="6"/>
  <c r="B243" i="6"/>
  <c r="B39" i="6"/>
  <c r="B5" i="6"/>
  <c r="B175" i="6"/>
  <c r="B209" i="6"/>
  <c r="B225" i="6"/>
  <c r="B123" i="6"/>
  <c r="C123" i="6" s="1"/>
  <c r="B259" i="6"/>
  <c r="B89" i="6"/>
  <c r="B38" i="6"/>
  <c r="B4" i="6"/>
  <c r="B191" i="6"/>
  <c r="B21" i="6"/>
  <c r="B208" i="6"/>
  <c r="B174" i="6"/>
  <c r="B9" i="6"/>
  <c r="B247" i="6"/>
  <c r="B179" i="6"/>
  <c r="B111" i="6"/>
  <c r="B213" i="6"/>
  <c r="B246" i="6"/>
  <c r="B8" i="6"/>
  <c r="B178" i="6"/>
  <c r="B212" i="6"/>
  <c r="B37" i="6"/>
  <c r="C37" i="6" s="1"/>
  <c r="B3" i="6"/>
  <c r="B173" i="6"/>
  <c r="B241" i="6"/>
  <c r="P2" i="22" s="1"/>
  <c r="B207" i="6"/>
  <c r="B249" i="6"/>
  <c r="B181" i="6"/>
  <c r="B215" i="6"/>
  <c r="B245" i="6"/>
  <c r="C245" i="6" s="1"/>
  <c r="B7" i="6"/>
  <c r="B251" i="6"/>
  <c r="P12" i="22" s="1"/>
  <c r="B132" i="6"/>
  <c r="B268" i="6"/>
  <c r="Q12" i="22" s="1"/>
  <c r="B234" i="6"/>
  <c r="O12" i="22" s="1"/>
  <c r="B183" i="6"/>
  <c r="L12" i="22" s="1"/>
  <c r="B217" i="6"/>
  <c r="N12" i="22" s="1"/>
  <c r="B269" i="6"/>
  <c r="B133" i="6"/>
  <c r="I13" i="22" s="1"/>
  <c r="B99" i="6"/>
  <c r="B235" i="6"/>
  <c r="O13" i="22" s="1"/>
  <c r="B48" i="6"/>
  <c r="B252" i="6"/>
  <c r="P13" i="22" s="1"/>
  <c r="B184" i="6"/>
  <c r="L13" i="22" s="1"/>
  <c r="B218" i="6"/>
  <c r="N13" i="22" s="1"/>
  <c r="B39" i="5"/>
  <c r="B34" i="5"/>
  <c r="B29" i="5"/>
  <c r="M12" i="1"/>
  <c r="M20" i="1" s="1"/>
  <c r="L45" i="1"/>
  <c r="B106" i="6"/>
  <c r="H3" i="22" s="1"/>
  <c r="B242" i="6"/>
  <c r="P3" i="22" s="1"/>
  <c r="B10" i="6"/>
  <c r="C10" i="6" s="1"/>
  <c r="D10" i="6" s="1"/>
  <c r="E10" i="6" s="1"/>
  <c r="F10" i="6" s="1"/>
  <c r="G10" i="6" s="1"/>
  <c r="H10" i="6" s="1"/>
  <c r="I10" i="6" s="1"/>
  <c r="J10" i="6" s="1"/>
  <c r="K10" i="6" s="1"/>
  <c r="B27" i="22" s="1"/>
  <c r="B248" i="6"/>
  <c r="C14" i="49"/>
  <c r="B12" i="49"/>
  <c r="K24" i="1"/>
  <c r="C3" i="49"/>
  <c r="B6" i="5"/>
  <c r="C95" i="6"/>
  <c r="B44" i="6"/>
  <c r="D9" i="22" s="1"/>
  <c r="B78" i="6"/>
  <c r="B112" i="6"/>
  <c r="B61" i="6"/>
  <c r="D129" i="6"/>
  <c r="E129" i="6" s="1"/>
  <c r="F129" i="6" s="1"/>
  <c r="G129" i="6" s="1"/>
  <c r="H129" i="6" s="1"/>
  <c r="I129" i="6" s="1"/>
  <c r="J129" i="6" s="1"/>
  <c r="K129" i="6" s="1"/>
  <c r="B72" i="6"/>
  <c r="B140" i="6" s="1"/>
  <c r="J3" i="22" s="1"/>
  <c r="B27" i="6"/>
  <c r="C27" i="6" s="1"/>
  <c r="D27" i="6" s="1"/>
  <c r="E27" i="6" s="1"/>
  <c r="F27" i="6" s="1"/>
  <c r="G27" i="6" s="1"/>
  <c r="H27" i="6" s="1"/>
  <c r="I27" i="6" s="1"/>
  <c r="J27" i="6" s="1"/>
  <c r="K27" i="6" s="1"/>
  <c r="C27" i="22" s="1"/>
  <c r="B19" i="5"/>
  <c r="B21" i="5" s="1"/>
  <c r="B71" i="6"/>
  <c r="B105" i="6"/>
  <c r="B75" i="6"/>
  <c r="B41" i="6"/>
  <c r="B107" i="6"/>
  <c r="B73" i="6"/>
  <c r="B12" i="6"/>
  <c r="B114" i="6"/>
  <c r="H11" i="22" s="1"/>
  <c r="B80" i="6"/>
  <c r="B46" i="6"/>
  <c r="B110" i="6"/>
  <c r="H7" i="22" s="1"/>
  <c r="B76" i="6"/>
  <c r="B42" i="6"/>
  <c r="B40" i="6"/>
  <c r="B108" i="6"/>
  <c r="H5" i="22" s="1"/>
  <c r="B74" i="6"/>
  <c r="H8" i="22"/>
  <c r="B77" i="6"/>
  <c r="B43" i="6"/>
  <c r="C3" i="22"/>
  <c r="B55" i="6"/>
  <c r="B45" i="6"/>
  <c r="B11" i="6"/>
  <c r="B79" i="6"/>
  <c r="B113" i="6"/>
  <c r="J9" i="2"/>
  <c r="B93" i="6" s="1"/>
  <c r="J12" i="2"/>
  <c r="B232" i="6" s="1"/>
  <c r="J10" i="2"/>
  <c r="B264" i="6" s="1"/>
  <c r="J7" i="2"/>
  <c r="B261" i="6" s="1"/>
  <c r="J6" i="2"/>
  <c r="B124" i="6" s="1"/>
  <c r="C124" i="6" s="1"/>
  <c r="J13" i="2"/>
  <c r="B233" i="6" s="1"/>
  <c r="B5" i="37"/>
  <c r="B22" i="37" s="1"/>
  <c r="B39" i="37" s="1"/>
  <c r="B56" i="37" s="1"/>
  <c r="B73" i="37" s="1"/>
  <c r="B90" i="37" s="1"/>
  <c r="B107" i="37" s="1"/>
  <c r="B124" i="37" s="1"/>
  <c r="B141" i="37" s="1"/>
  <c r="B158" i="37" s="1"/>
  <c r="B176" i="37" s="1"/>
  <c r="B193" i="37" s="1"/>
  <c r="C193" i="37" s="1"/>
  <c r="D193" i="37" s="1"/>
  <c r="E193" i="37" s="1"/>
  <c r="F193" i="37" s="1"/>
  <c r="G193" i="37" s="1"/>
  <c r="H193" i="37" s="1"/>
  <c r="I193" i="37" s="1"/>
  <c r="J193" i="37" s="1"/>
  <c r="K193" i="37" s="1"/>
  <c r="B5" i="38"/>
  <c r="B22" i="38" s="1"/>
  <c r="B39" i="38" s="1"/>
  <c r="B56" i="38" s="1"/>
  <c r="B73" i="38" s="1"/>
  <c r="B5" i="36"/>
  <c r="B22" i="36" s="1"/>
  <c r="B39" i="36" s="1"/>
  <c r="B5" i="35"/>
  <c r="B22" i="35" s="1"/>
  <c r="B39" i="35" s="1"/>
  <c r="B56" i="35" s="1"/>
  <c r="B73" i="35" s="1"/>
  <c r="B90" i="35" s="1"/>
  <c r="B107" i="35" s="1"/>
  <c r="B124" i="35" s="1"/>
  <c r="B141" i="35" s="1"/>
  <c r="B158" i="35" s="1"/>
  <c r="B176" i="35" s="1"/>
  <c r="B193" i="35" s="1"/>
  <c r="C193" i="35" s="1"/>
  <c r="D193" i="35" s="1"/>
  <c r="E193" i="35" s="1"/>
  <c r="F193" i="35" s="1"/>
  <c r="G193" i="35" s="1"/>
  <c r="H193" i="35" s="1"/>
  <c r="I193" i="35" s="1"/>
  <c r="J193" i="35" s="1"/>
  <c r="K193" i="35" s="1"/>
  <c r="B4" i="37"/>
  <c r="B4" i="36"/>
  <c r="B4" i="35"/>
  <c r="B4" i="38"/>
  <c r="B11" i="38"/>
  <c r="B28" i="38" s="1"/>
  <c r="B45" i="38" s="1"/>
  <c r="B62" i="38" s="1"/>
  <c r="B79" i="38" s="1"/>
  <c r="B11" i="36"/>
  <c r="B28" i="36" s="1"/>
  <c r="B45" i="36" s="1"/>
  <c r="B11" i="37"/>
  <c r="B28" i="37" s="1"/>
  <c r="B45" i="37" s="1"/>
  <c r="B62" i="37" s="1"/>
  <c r="B79" i="37" s="1"/>
  <c r="B96" i="37" s="1"/>
  <c r="B113" i="37" s="1"/>
  <c r="B130" i="37" s="1"/>
  <c r="B147" i="37" s="1"/>
  <c r="B164" i="37" s="1"/>
  <c r="B182" i="37" s="1"/>
  <c r="B199" i="37" s="1"/>
  <c r="C199" i="37" s="1"/>
  <c r="D199" i="37" s="1"/>
  <c r="E199" i="37" s="1"/>
  <c r="F199" i="37" s="1"/>
  <c r="G199" i="37" s="1"/>
  <c r="H199" i="37" s="1"/>
  <c r="I199" i="37" s="1"/>
  <c r="J199" i="37" s="1"/>
  <c r="K199" i="37" s="1"/>
  <c r="B11" i="35"/>
  <c r="B28" i="35" s="1"/>
  <c r="B45" i="35" s="1"/>
  <c r="B62" i="35" s="1"/>
  <c r="B79" i="35" s="1"/>
  <c r="B96" i="35" s="1"/>
  <c r="B113" i="35" s="1"/>
  <c r="B130" i="35" s="1"/>
  <c r="B147" i="35" s="1"/>
  <c r="B164" i="35" s="1"/>
  <c r="B182" i="35" s="1"/>
  <c r="B199" i="35" s="1"/>
  <c r="C199" i="35" s="1"/>
  <c r="D199" i="35" s="1"/>
  <c r="E199" i="35" s="1"/>
  <c r="F199" i="35" s="1"/>
  <c r="G199" i="35" s="1"/>
  <c r="H199" i="35" s="1"/>
  <c r="I199" i="35" s="1"/>
  <c r="J199" i="35" s="1"/>
  <c r="K199" i="35" s="1"/>
  <c r="C8" i="6"/>
  <c r="D8" i="6" s="1"/>
  <c r="E8" i="6" s="1"/>
  <c r="F8" i="6" s="1"/>
  <c r="G8" i="6" s="1"/>
  <c r="H8" i="6" s="1"/>
  <c r="I8" i="6" s="1"/>
  <c r="J8" i="6" s="1"/>
  <c r="K8" i="6" s="1"/>
  <c r="B25" i="22" s="1"/>
  <c r="B9" i="37"/>
  <c r="B26" i="37" s="1"/>
  <c r="B43" i="37" s="1"/>
  <c r="B60" i="37" s="1"/>
  <c r="B77" i="37" s="1"/>
  <c r="B94" i="37" s="1"/>
  <c r="B111" i="37" s="1"/>
  <c r="B128" i="37" s="1"/>
  <c r="B145" i="37" s="1"/>
  <c r="B162" i="37" s="1"/>
  <c r="B180" i="37" s="1"/>
  <c r="B197" i="37" s="1"/>
  <c r="C197" i="37" s="1"/>
  <c r="D197" i="37" s="1"/>
  <c r="E197" i="37" s="1"/>
  <c r="F197" i="37" s="1"/>
  <c r="G197" i="37" s="1"/>
  <c r="H197" i="37" s="1"/>
  <c r="I197" i="37" s="1"/>
  <c r="J197" i="37" s="1"/>
  <c r="K197" i="37" s="1"/>
  <c r="B9" i="38"/>
  <c r="B26" i="38" s="1"/>
  <c r="B43" i="38" s="1"/>
  <c r="B60" i="38" s="1"/>
  <c r="B77" i="38" s="1"/>
  <c r="B9" i="35"/>
  <c r="B26" i="35" s="1"/>
  <c r="B43" i="35" s="1"/>
  <c r="B60" i="35" s="1"/>
  <c r="B77" i="35" s="1"/>
  <c r="B94" i="35" s="1"/>
  <c r="B111" i="35" s="1"/>
  <c r="B128" i="35" s="1"/>
  <c r="B145" i="35" s="1"/>
  <c r="B162" i="35" s="1"/>
  <c r="B180" i="35" s="1"/>
  <c r="B197" i="35" s="1"/>
  <c r="C197" i="35" s="1"/>
  <c r="D197" i="35" s="1"/>
  <c r="E197" i="35" s="1"/>
  <c r="F197" i="35" s="1"/>
  <c r="G197" i="35" s="1"/>
  <c r="H197" i="35" s="1"/>
  <c r="I197" i="35" s="1"/>
  <c r="J197" i="35" s="1"/>
  <c r="K197" i="35" s="1"/>
  <c r="B9" i="36"/>
  <c r="B26" i="36" s="1"/>
  <c r="B43" i="36" s="1"/>
  <c r="B60" i="36" s="1"/>
  <c r="B77" i="36" s="1"/>
  <c r="B94" i="36" s="1"/>
  <c r="B111" i="36" s="1"/>
  <c r="B128" i="36" s="1"/>
  <c r="B145" i="36" s="1"/>
  <c r="B162" i="36" s="1"/>
  <c r="B180" i="36" s="1"/>
  <c r="B197" i="36" s="1"/>
  <c r="C197" i="36" s="1"/>
  <c r="D197" i="36" s="1"/>
  <c r="E197" i="36" s="1"/>
  <c r="F197" i="36" s="1"/>
  <c r="G197" i="36" s="1"/>
  <c r="H197" i="36" s="1"/>
  <c r="I197" i="36" s="1"/>
  <c r="J197" i="36" s="1"/>
  <c r="K197" i="36" s="1"/>
  <c r="B13" i="37"/>
  <c r="B30" i="37" s="1"/>
  <c r="B47" i="37" s="1"/>
  <c r="B64" i="37" s="1"/>
  <c r="B81" i="37" s="1"/>
  <c r="B98" i="37" s="1"/>
  <c r="B115" i="37" s="1"/>
  <c r="B132" i="37" s="1"/>
  <c r="B149" i="37" s="1"/>
  <c r="B166" i="37" s="1"/>
  <c r="B184" i="37" s="1"/>
  <c r="B201" i="37" s="1"/>
  <c r="C201" i="37" s="1"/>
  <c r="D201" i="37" s="1"/>
  <c r="E201" i="37" s="1"/>
  <c r="F201" i="37" s="1"/>
  <c r="G201" i="37" s="1"/>
  <c r="H201" i="37" s="1"/>
  <c r="I201" i="37" s="1"/>
  <c r="J201" i="37" s="1"/>
  <c r="K201" i="37" s="1"/>
  <c r="B13" i="38"/>
  <c r="B30" i="38" s="1"/>
  <c r="B47" i="38" s="1"/>
  <c r="B64" i="38" s="1"/>
  <c r="B81" i="38" s="1"/>
  <c r="B13" i="36"/>
  <c r="B30" i="36" s="1"/>
  <c r="B47" i="36" s="1"/>
  <c r="B13" i="35"/>
  <c r="B30" i="35" s="1"/>
  <c r="B47" i="35" s="1"/>
  <c r="B64" i="35" s="1"/>
  <c r="B81" i="35" s="1"/>
  <c r="B98" i="35" s="1"/>
  <c r="B115" i="35" s="1"/>
  <c r="B132" i="35" s="1"/>
  <c r="B149" i="35" s="1"/>
  <c r="B166" i="35" s="1"/>
  <c r="B184" i="35" s="1"/>
  <c r="B201" i="35" s="1"/>
  <c r="C201" i="35" s="1"/>
  <c r="D201" i="35" s="1"/>
  <c r="E201" i="35" s="1"/>
  <c r="F201" i="35" s="1"/>
  <c r="G201" i="35" s="1"/>
  <c r="H201" i="35" s="1"/>
  <c r="I201" i="35" s="1"/>
  <c r="J201" i="35" s="1"/>
  <c r="K201" i="35" s="1"/>
  <c r="B8" i="37"/>
  <c r="B25" i="37" s="1"/>
  <c r="B42" i="37" s="1"/>
  <c r="B59" i="37" s="1"/>
  <c r="B76" i="37" s="1"/>
  <c r="B93" i="37" s="1"/>
  <c r="B110" i="37" s="1"/>
  <c r="B127" i="37" s="1"/>
  <c r="B144" i="37" s="1"/>
  <c r="B161" i="37" s="1"/>
  <c r="B8" i="38"/>
  <c r="B25" i="38" s="1"/>
  <c r="B42" i="38" s="1"/>
  <c r="B59" i="38" s="1"/>
  <c r="B76" i="38" s="1"/>
  <c r="B8" i="36"/>
  <c r="B25" i="36" s="1"/>
  <c r="B42" i="36" s="1"/>
  <c r="B8" i="35"/>
  <c r="B25" i="35" s="1"/>
  <c r="B42" i="35" s="1"/>
  <c r="B59" i="35" s="1"/>
  <c r="B76" i="35" s="1"/>
  <c r="B93" i="35" s="1"/>
  <c r="B110" i="35" s="1"/>
  <c r="B127" i="35" s="1"/>
  <c r="B144" i="35" s="1"/>
  <c r="B161" i="35" s="1"/>
  <c r="B14" i="38"/>
  <c r="B31" i="38" s="1"/>
  <c r="B48" i="38" s="1"/>
  <c r="B65" i="38" s="1"/>
  <c r="B82" i="38" s="1"/>
  <c r="B99" i="38" s="1"/>
  <c r="B116" i="38" s="1"/>
  <c r="B133" i="38" s="1"/>
  <c r="B150" i="38" s="1"/>
  <c r="B167" i="38" s="1"/>
  <c r="B185" i="38" s="1"/>
  <c r="B202" i="38" s="1"/>
  <c r="B14" i="37"/>
  <c r="B31" i="37" s="1"/>
  <c r="B48" i="37" s="1"/>
  <c r="B65" i="37" s="1"/>
  <c r="B82" i="37" s="1"/>
  <c r="B99" i="37" s="1"/>
  <c r="B116" i="37" s="1"/>
  <c r="B133" i="37" s="1"/>
  <c r="B150" i="37" s="1"/>
  <c r="B167" i="37" s="1"/>
  <c r="B185" i="37" s="1"/>
  <c r="B202" i="37" s="1"/>
  <c r="B14" i="35"/>
  <c r="B31" i="35" s="1"/>
  <c r="B48" i="35" s="1"/>
  <c r="B65" i="35" s="1"/>
  <c r="B82" i="35" s="1"/>
  <c r="B99" i="35" s="1"/>
  <c r="B116" i="35" s="1"/>
  <c r="B133" i="35" s="1"/>
  <c r="B150" i="35" s="1"/>
  <c r="B167" i="35" s="1"/>
  <c r="B185" i="35" s="1"/>
  <c r="B202" i="35" s="1"/>
  <c r="B14" i="36"/>
  <c r="B31" i="36" s="1"/>
  <c r="B48" i="36" s="1"/>
  <c r="B65" i="36" s="1"/>
  <c r="B82" i="36" s="1"/>
  <c r="B99" i="36" s="1"/>
  <c r="B116" i="36" s="1"/>
  <c r="B133" i="36" s="1"/>
  <c r="B150" i="36" s="1"/>
  <c r="B167" i="36" s="1"/>
  <c r="B185" i="36" s="1"/>
  <c r="B202" i="36" s="1"/>
  <c r="B6" i="38"/>
  <c r="B23" i="38" s="1"/>
  <c r="B40" i="38" s="1"/>
  <c r="B57" i="38" s="1"/>
  <c r="B74" i="38" s="1"/>
  <c r="B6" i="37"/>
  <c r="B23" i="37" s="1"/>
  <c r="B40" i="37" s="1"/>
  <c r="B57" i="37" s="1"/>
  <c r="B74" i="37" s="1"/>
  <c r="B91" i="37" s="1"/>
  <c r="B108" i="37" s="1"/>
  <c r="B125" i="37" s="1"/>
  <c r="B142" i="37" s="1"/>
  <c r="B159" i="37" s="1"/>
  <c r="B177" i="37" s="1"/>
  <c r="B194" i="37" s="1"/>
  <c r="C194" i="37" s="1"/>
  <c r="D194" i="37" s="1"/>
  <c r="E194" i="37" s="1"/>
  <c r="F194" i="37" s="1"/>
  <c r="G194" i="37" s="1"/>
  <c r="H194" i="37" s="1"/>
  <c r="I194" i="37" s="1"/>
  <c r="J194" i="37" s="1"/>
  <c r="K194" i="37" s="1"/>
  <c r="B6" i="35"/>
  <c r="B23" i="35" s="1"/>
  <c r="B40" i="35" s="1"/>
  <c r="B57" i="35" s="1"/>
  <c r="B74" i="35" s="1"/>
  <c r="B91" i="35" s="1"/>
  <c r="B108" i="35" s="1"/>
  <c r="B125" i="35" s="1"/>
  <c r="B142" i="35" s="1"/>
  <c r="B159" i="35" s="1"/>
  <c r="B177" i="35" s="1"/>
  <c r="B194" i="35" s="1"/>
  <c r="C194" i="35" s="1"/>
  <c r="D194" i="35" s="1"/>
  <c r="E194" i="35" s="1"/>
  <c r="F194" i="35" s="1"/>
  <c r="G194" i="35" s="1"/>
  <c r="H194" i="35" s="1"/>
  <c r="I194" i="35" s="1"/>
  <c r="J194" i="35" s="1"/>
  <c r="K194" i="35" s="1"/>
  <c r="B6" i="36"/>
  <c r="B23" i="36" s="1"/>
  <c r="B40" i="36" s="1"/>
  <c r="B10" i="38"/>
  <c r="B27" i="38" s="1"/>
  <c r="B44" i="38" s="1"/>
  <c r="B61" i="38" s="1"/>
  <c r="B78" i="38" s="1"/>
  <c r="B95" i="38" s="1"/>
  <c r="B10" i="37"/>
  <c r="B27" i="37" s="1"/>
  <c r="B44" i="37" s="1"/>
  <c r="B61" i="37" s="1"/>
  <c r="B78" i="37" s="1"/>
  <c r="B95" i="37" s="1"/>
  <c r="B112" i="37" s="1"/>
  <c r="B129" i="37" s="1"/>
  <c r="B146" i="37" s="1"/>
  <c r="B163" i="37" s="1"/>
  <c r="B181" i="37" s="1"/>
  <c r="B198" i="37" s="1"/>
  <c r="C198" i="37" s="1"/>
  <c r="D198" i="37" s="1"/>
  <c r="E198" i="37" s="1"/>
  <c r="F198" i="37" s="1"/>
  <c r="G198" i="37" s="1"/>
  <c r="H198" i="37" s="1"/>
  <c r="I198" i="37" s="1"/>
  <c r="J198" i="37" s="1"/>
  <c r="K198" i="37" s="1"/>
  <c r="B10" i="36"/>
  <c r="B27" i="36" s="1"/>
  <c r="B44" i="36" s="1"/>
  <c r="B61" i="36" s="1"/>
  <c r="B78" i="36" s="1"/>
  <c r="B95" i="36" s="1"/>
  <c r="B112" i="36" s="1"/>
  <c r="B129" i="36" s="1"/>
  <c r="B146" i="36" s="1"/>
  <c r="B163" i="36" s="1"/>
  <c r="B181" i="36" s="1"/>
  <c r="B198" i="36" s="1"/>
  <c r="C198" i="36" s="1"/>
  <c r="D198" i="36" s="1"/>
  <c r="E198" i="36" s="1"/>
  <c r="F198" i="36" s="1"/>
  <c r="G198" i="36" s="1"/>
  <c r="H198" i="36" s="1"/>
  <c r="I198" i="36" s="1"/>
  <c r="J198" i="36" s="1"/>
  <c r="K198" i="36" s="1"/>
  <c r="B10" i="35"/>
  <c r="B27" i="35" s="1"/>
  <c r="B44" i="35" s="1"/>
  <c r="B61" i="35" s="1"/>
  <c r="B78" i="35" s="1"/>
  <c r="B95" i="35" s="1"/>
  <c r="B112" i="35" s="1"/>
  <c r="B129" i="35" s="1"/>
  <c r="B146" i="35" s="1"/>
  <c r="B163" i="35" s="1"/>
  <c r="B181" i="35" s="1"/>
  <c r="B198" i="35" s="1"/>
  <c r="C198" i="35" s="1"/>
  <c r="D198" i="35" s="1"/>
  <c r="E198" i="35" s="1"/>
  <c r="F198" i="35" s="1"/>
  <c r="G198" i="35" s="1"/>
  <c r="H198" i="35" s="1"/>
  <c r="I198" i="35" s="1"/>
  <c r="J198" i="35" s="1"/>
  <c r="K198" i="35" s="1"/>
  <c r="C6" i="38"/>
  <c r="C23" i="38" s="1"/>
  <c r="C40" i="38" s="1"/>
  <c r="C57" i="38" s="1"/>
  <c r="C74" i="38" s="1"/>
  <c r="C6" i="35"/>
  <c r="C23" i="35" s="1"/>
  <c r="C40" i="35" s="1"/>
  <c r="C57" i="35" s="1"/>
  <c r="C74" i="35" s="1"/>
  <c r="C91" i="35" s="1"/>
  <c r="C108" i="35" s="1"/>
  <c r="C125" i="35" s="1"/>
  <c r="C142" i="35" s="1"/>
  <c r="C159" i="35" s="1"/>
  <c r="C177" i="35" s="1"/>
  <c r="C6" i="37"/>
  <c r="C23" i="37" s="1"/>
  <c r="C40" i="37" s="1"/>
  <c r="C57" i="37" s="1"/>
  <c r="C74" i="37" s="1"/>
  <c r="C91" i="37" s="1"/>
  <c r="C108" i="37" s="1"/>
  <c r="C125" i="37" s="1"/>
  <c r="C142" i="37" s="1"/>
  <c r="C159" i="37" s="1"/>
  <c r="C177" i="37" s="1"/>
  <c r="C6" i="36"/>
  <c r="C23" i="36" s="1"/>
  <c r="C40" i="36" s="1"/>
  <c r="B15" i="35"/>
  <c r="B32" i="35" s="1"/>
  <c r="B49" i="35" s="1"/>
  <c r="B66" i="35" s="1"/>
  <c r="B83" i="35" s="1"/>
  <c r="B100" i="35" s="1"/>
  <c r="B117" i="35" s="1"/>
  <c r="B134" i="35" s="1"/>
  <c r="B151" i="35" s="1"/>
  <c r="B168" i="35" s="1"/>
  <c r="B186" i="35" s="1"/>
  <c r="B203" i="35" s="1"/>
  <c r="C203" i="35" s="1"/>
  <c r="D203" i="35" s="1"/>
  <c r="E203" i="35" s="1"/>
  <c r="F203" i="35" s="1"/>
  <c r="G203" i="35" s="1"/>
  <c r="H203" i="35" s="1"/>
  <c r="I203" i="35" s="1"/>
  <c r="J203" i="35" s="1"/>
  <c r="K203" i="35" s="1"/>
  <c r="B15" i="37"/>
  <c r="B32" i="37" s="1"/>
  <c r="B49" i="37" s="1"/>
  <c r="B66" i="37" s="1"/>
  <c r="B83" i="37" s="1"/>
  <c r="B100" i="37" s="1"/>
  <c r="B117" i="37" s="1"/>
  <c r="B134" i="37" s="1"/>
  <c r="B151" i="37" s="1"/>
  <c r="B168" i="37" s="1"/>
  <c r="B186" i="37" s="1"/>
  <c r="B203" i="37" s="1"/>
  <c r="C203" i="37" s="1"/>
  <c r="D203" i="37" s="1"/>
  <c r="E203" i="37" s="1"/>
  <c r="F203" i="37" s="1"/>
  <c r="G203" i="37" s="1"/>
  <c r="H203" i="37" s="1"/>
  <c r="I203" i="37" s="1"/>
  <c r="J203" i="37" s="1"/>
  <c r="K203" i="37" s="1"/>
  <c r="B15" i="36"/>
  <c r="B32" i="36" s="1"/>
  <c r="B49" i="36" s="1"/>
  <c r="B66" i="36" s="1"/>
  <c r="B83" i="36" s="1"/>
  <c r="B100" i="36" s="1"/>
  <c r="B117" i="36" s="1"/>
  <c r="B134" i="36" s="1"/>
  <c r="B151" i="36" s="1"/>
  <c r="B168" i="36" s="1"/>
  <c r="B186" i="36" s="1"/>
  <c r="B203" i="36" s="1"/>
  <c r="C203" i="36" s="1"/>
  <c r="D203" i="36" s="1"/>
  <c r="E203" i="36" s="1"/>
  <c r="F203" i="36" s="1"/>
  <c r="G203" i="36" s="1"/>
  <c r="H203" i="36" s="1"/>
  <c r="I203" i="36" s="1"/>
  <c r="J203" i="36" s="1"/>
  <c r="K203" i="36" s="1"/>
  <c r="B15" i="38"/>
  <c r="B32" i="38" s="1"/>
  <c r="B49" i="38" s="1"/>
  <c r="B66" i="38" s="1"/>
  <c r="B83" i="38" s="1"/>
  <c r="B12" i="37"/>
  <c r="B29" i="37" s="1"/>
  <c r="B46" i="37" s="1"/>
  <c r="B63" i="37" s="1"/>
  <c r="B80" i="37" s="1"/>
  <c r="B97" i="37" s="1"/>
  <c r="B114" i="37" s="1"/>
  <c r="B131" i="37" s="1"/>
  <c r="B148" i="37" s="1"/>
  <c r="B165" i="37" s="1"/>
  <c r="B183" i="37" s="1"/>
  <c r="B200" i="37" s="1"/>
  <c r="C200" i="37" s="1"/>
  <c r="D200" i="37" s="1"/>
  <c r="E200" i="37" s="1"/>
  <c r="F200" i="37" s="1"/>
  <c r="G200" i="37" s="1"/>
  <c r="H200" i="37" s="1"/>
  <c r="I200" i="37" s="1"/>
  <c r="J200" i="37" s="1"/>
  <c r="K200" i="37" s="1"/>
  <c r="B12" i="36"/>
  <c r="B29" i="36" s="1"/>
  <c r="B46" i="36" s="1"/>
  <c r="B63" i="36" s="1"/>
  <c r="B80" i="36" s="1"/>
  <c r="B97" i="36" s="1"/>
  <c r="B114" i="36" s="1"/>
  <c r="B131" i="36" s="1"/>
  <c r="B148" i="36" s="1"/>
  <c r="B165" i="36" s="1"/>
  <c r="B183" i="36" s="1"/>
  <c r="B200" i="36" s="1"/>
  <c r="C200" i="36" s="1"/>
  <c r="D200" i="36" s="1"/>
  <c r="E200" i="36" s="1"/>
  <c r="F200" i="36" s="1"/>
  <c r="G200" i="36" s="1"/>
  <c r="H200" i="36" s="1"/>
  <c r="I200" i="36" s="1"/>
  <c r="J200" i="36" s="1"/>
  <c r="K200" i="36" s="1"/>
  <c r="B12" i="38"/>
  <c r="B29" i="38" s="1"/>
  <c r="B46" i="38" s="1"/>
  <c r="B63" i="38" s="1"/>
  <c r="B80" i="38" s="1"/>
  <c r="B97" i="38" s="1"/>
  <c r="B12" i="35"/>
  <c r="B29" i="35" s="1"/>
  <c r="B46" i="35" s="1"/>
  <c r="B63" i="35" s="1"/>
  <c r="B80" i="35" s="1"/>
  <c r="B97" i="35" s="1"/>
  <c r="B114" i="35" s="1"/>
  <c r="B131" i="35" s="1"/>
  <c r="B148" i="35" s="1"/>
  <c r="B165" i="35" s="1"/>
  <c r="B183" i="35" s="1"/>
  <c r="B200" i="35" s="1"/>
  <c r="C200" i="35" s="1"/>
  <c r="D200" i="35" s="1"/>
  <c r="E200" i="35" s="1"/>
  <c r="F200" i="35" s="1"/>
  <c r="G200" i="35" s="1"/>
  <c r="H200" i="35" s="1"/>
  <c r="I200" i="35" s="1"/>
  <c r="J200" i="35" s="1"/>
  <c r="K200" i="35" s="1"/>
  <c r="B16" i="37"/>
  <c r="B16" i="38"/>
  <c r="B16" i="36"/>
  <c r="B16" i="35"/>
  <c r="B17" i="2"/>
  <c r="B7" i="37"/>
  <c r="B24" i="37" s="1"/>
  <c r="B41" i="37" s="1"/>
  <c r="B58" i="37" s="1"/>
  <c r="B75" i="37" s="1"/>
  <c r="B92" i="37" s="1"/>
  <c r="B109" i="37" s="1"/>
  <c r="B126" i="37" s="1"/>
  <c r="B143" i="37" s="1"/>
  <c r="B160" i="37" s="1"/>
  <c r="B178" i="37" s="1"/>
  <c r="B195" i="37" s="1"/>
  <c r="C195" i="37" s="1"/>
  <c r="D195" i="37" s="1"/>
  <c r="E195" i="37" s="1"/>
  <c r="F195" i="37" s="1"/>
  <c r="G195" i="37" s="1"/>
  <c r="H195" i="37" s="1"/>
  <c r="I195" i="37" s="1"/>
  <c r="J195" i="37" s="1"/>
  <c r="K195" i="37" s="1"/>
  <c r="B7" i="36"/>
  <c r="B24" i="36" s="1"/>
  <c r="B41" i="36" s="1"/>
  <c r="B7" i="38"/>
  <c r="B24" i="38" s="1"/>
  <c r="B41" i="38" s="1"/>
  <c r="B58" i="38" s="1"/>
  <c r="B75" i="38" s="1"/>
  <c r="B92" i="38" s="1"/>
  <c r="B7" i="35"/>
  <c r="B24" i="35" s="1"/>
  <c r="B41" i="35" s="1"/>
  <c r="B58" i="35" s="1"/>
  <c r="B75" i="35" s="1"/>
  <c r="B92" i="35" s="1"/>
  <c r="B109" i="35" s="1"/>
  <c r="B126" i="35" s="1"/>
  <c r="B143" i="35" s="1"/>
  <c r="B160" i="35" s="1"/>
  <c r="B178" i="35" s="1"/>
  <c r="B195" i="35" s="1"/>
  <c r="C195" i="35" s="1"/>
  <c r="D195" i="35" s="1"/>
  <c r="E195" i="35" s="1"/>
  <c r="F195" i="35" s="1"/>
  <c r="G195" i="35" s="1"/>
  <c r="H195" i="35" s="1"/>
  <c r="I195" i="35" s="1"/>
  <c r="J195" i="35" s="1"/>
  <c r="K195" i="35" s="1"/>
  <c r="K34" i="1"/>
  <c r="K26" i="1"/>
  <c r="K33" i="1"/>
  <c r="B81" i="6"/>
  <c r="B13" i="6"/>
  <c r="B12" i="22" s="1"/>
  <c r="B64" i="6"/>
  <c r="E12" i="22" s="1"/>
  <c r="B30" i="6"/>
  <c r="C12" i="22" s="1"/>
  <c r="B115" i="6"/>
  <c r="H12" i="22" s="1"/>
  <c r="B47" i="6"/>
  <c r="D12" i="22" s="1"/>
  <c r="B98" i="6"/>
  <c r="K36" i="1"/>
  <c r="B31" i="6"/>
  <c r="B150" i="6"/>
  <c r="J13" i="22" s="1"/>
  <c r="B14" i="6"/>
  <c r="B13" i="22" s="1"/>
  <c r="B116" i="6"/>
  <c r="B82" i="6"/>
  <c r="D13" i="22"/>
  <c r="B65" i="6"/>
  <c r="K31" i="1"/>
  <c r="K29" i="1"/>
  <c r="J47" i="1"/>
  <c r="J8" i="2"/>
  <c r="B262" i="6" s="1"/>
  <c r="J4" i="2"/>
  <c r="B122" i="6" s="1"/>
  <c r="K35" i="1"/>
  <c r="B14" i="5"/>
  <c r="B16" i="5" s="1"/>
  <c r="K23" i="1"/>
  <c r="K27" i="1"/>
  <c r="B9" i="5"/>
  <c r="K28" i="1"/>
  <c r="K30" i="1"/>
  <c r="K32" i="1"/>
  <c r="K22" i="1"/>
  <c r="K25" i="1"/>
  <c r="K3" i="2"/>
  <c r="K8" i="2" s="1"/>
  <c r="L37" i="1"/>
  <c r="D3" i="49" s="1"/>
  <c r="M53" i="1"/>
  <c r="M45" i="1"/>
  <c r="N12" i="1"/>
  <c r="N20" i="1" s="1"/>
  <c r="M44" i="1"/>
  <c r="B96" i="6" l="1"/>
  <c r="B126" i="6"/>
  <c r="C126" i="6" s="1"/>
  <c r="C233" i="6"/>
  <c r="D233" i="6" s="1"/>
  <c r="E233" i="6" s="1"/>
  <c r="F233" i="6" s="1"/>
  <c r="G233" i="6" s="1"/>
  <c r="H233" i="6" s="1"/>
  <c r="I233" i="6" s="1"/>
  <c r="J233" i="6" s="1"/>
  <c r="K233" i="6" s="1"/>
  <c r="O29" i="22" s="1"/>
  <c r="O11" i="22"/>
  <c r="C261" i="6"/>
  <c r="D261" i="6" s="1"/>
  <c r="E261" i="6" s="1"/>
  <c r="F261" i="6" s="1"/>
  <c r="G261" i="6" s="1"/>
  <c r="H261" i="6" s="1"/>
  <c r="I261" i="6" s="1"/>
  <c r="J261" i="6" s="1"/>
  <c r="K261" i="6" s="1"/>
  <c r="Q23" i="22" s="1"/>
  <c r="Q5" i="22"/>
  <c r="C264" i="6"/>
  <c r="D264" i="6" s="1"/>
  <c r="E264" i="6" s="1"/>
  <c r="F264" i="6" s="1"/>
  <c r="G264" i="6" s="1"/>
  <c r="H264" i="6" s="1"/>
  <c r="I264" i="6" s="1"/>
  <c r="J264" i="6" s="1"/>
  <c r="K264" i="6" s="1"/>
  <c r="Q26" i="22" s="1"/>
  <c r="Q8" i="22"/>
  <c r="C122" i="6"/>
  <c r="C232" i="6"/>
  <c r="D232" i="6" s="1"/>
  <c r="E232" i="6" s="1"/>
  <c r="F232" i="6" s="1"/>
  <c r="G232" i="6" s="1"/>
  <c r="H232" i="6" s="1"/>
  <c r="I232" i="6" s="1"/>
  <c r="J232" i="6" s="1"/>
  <c r="K232" i="6" s="1"/>
  <c r="O28" i="22" s="1"/>
  <c r="O10" i="22"/>
  <c r="C262" i="6"/>
  <c r="Q6" i="22"/>
  <c r="C252" i="6"/>
  <c r="C184" i="6"/>
  <c r="B228" i="6"/>
  <c r="B198" i="6"/>
  <c r="L2" i="22"/>
  <c r="C173" i="6"/>
  <c r="B224" i="6"/>
  <c r="B195" i="6"/>
  <c r="B226" i="6"/>
  <c r="C176" i="6"/>
  <c r="D176" i="6" s="1"/>
  <c r="E176" i="6" s="1"/>
  <c r="F176" i="6" s="1"/>
  <c r="G176" i="6" s="1"/>
  <c r="H176" i="6" s="1"/>
  <c r="I176" i="6" s="1"/>
  <c r="J176" i="6" s="1"/>
  <c r="K176" i="6" s="1"/>
  <c r="L23" i="22" s="1"/>
  <c r="L5" i="22"/>
  <c r="C244" i="6"/>
  <c r="D244" i="6" s="1"/>
  <c r="E244" i="6" s="1"/>
  <c r="F244" i="6" s="1"/>
  <c r="G244" i="6" s="1"/>
  <c r="H244" i="6" s="1"/>
  <c r="I244" i="6" s="1"/>
  <c r="J244" i="6" s="1"/>
  <c r="K244" i="6" s="1"/>
  <c r="P23" i="22" s="1"/>
  <c r="P5" i="22"/>
  <c r="C250" i="6"/>
  <c r="D250" i="6" s="1"/>
  <c r="E250" i="6" s="1"/>
  <c r="F250" i="6" s="1"/>
  <c r="G250" i="6" s="1"/>
  <c r="H250" i="6" s="1"/>
  <c r="I250" i="6" s="1"/>
  <c r="J250" i="6" s="1"/>
  <c r="K250" i="6" s="1"/>
  <c r="P29" i="22" s="1"/>
  <c r="P11" i="22"/>
  <c r="B92" i="6"/>
  <c r="B20" i="6"/>
  <c r="C2" i="22" s="1"/>
  <c r="C212" i="6"/>
  <c r="D212" i="6" s="1"/>
  <c r="E212" i="6" s="1"/>
  <c r="F212" i="6" s="1"/>
  <c r="G212" i="6" s="1"/>
  <c r="H212" i="6" s="1"/>
  <c r="I212" i="6" s="1"/>
  <c r="J212" i="6" s="1"/>
  <c r="K212" i="6" s="1"/>
  <c r="N25" i="22" s="1"/>
  <c r="N7" i="22"/>
  <c r="C246" i="6"/>
  <c r="D246" i="6" s="1"/>
  <c r="E246" i="6" s="1"/>
  <c r="F246" i="6" s="1"/>
  <c r="G246" i="6" s="1"/>
  <c r="H246" i="6" s="1"/>
  <c r="I246" i="6" s="1"/>
  <c r="J246" i="6" s="1"/>
  <c r="K246" i="6" s="1"/>
  <c r="P25" i="22" s="1"/>
  <c r="P7" i="22"/>
  <c r="B128" i="6"/>
  <c r="C128" i="6" s="1"/>
  <c r="B192" i="6"/>
  <c r="C210" i="6"/>
  <c r="D210" i="6" s="1"/>
  <c r="E210" i="6" s="1"/>
  <c r="F210" i="6" s="1"/>
  <c r="G210" i="6" s="1"/>
  <c r="H210" i="6" s="1"/>
  <c r="I210" i="6" s="1"/>
  <c r="J210" i="6" s="1"/>
  <c r="K210" i="6" s="1"/>
  <c r="N23" i="22" s="1"/>
  <c r="N5" i="22"/>
  <c r="C182" i="6"/>
  <c r="D182" i="6" s="1"/>
  <c r="E182" i="6" s="1"/>
  <c r="F182" i="6" s="1"/>
  <c r="G182" i="6" s="1"/>
  <c r="H182" i="6" s="1"/>
  <c r="I182" i="6" s="1"/>
  <c r="J182" i="6" s="1"/>
  <c r="K182" i="6" s="1"/>
  <c r="L29" i="22" s="1"/>
  <c r="L11" i="22"/>
  <c r="C214" i="6"/>
  <c r="D214" i="6" s="1"/>
  <c r="E214" i="6" s="1"/>
  <c r="F214" i="6" s="1"/>
  <c r="G214" i="6" s="1"/>
  <c r="H214" i="6" s="1"/>
  <c r="I214" i="6" s="1"/>
  <c r="J214" i="6" s="1"/>
  <c r="K214" i="6" s="1"/>
  <c r="N27" i="22" s="1"/>
  <c r="N9" i="22"/>
  <c r="B160" i="6"/>
  <c r="B266" i="6"/>
  <c r="B190" i="6"/>
  <c r="C178" i="6"/>
  <c r="D178" i="6" s="1"/>
  <c r="E178" i="6" s="1"/>
  <c r="F178" i="6" s="1"/>
  <c r="G178" i="6" s="1"/>
  <c r="H178" i="6" s="1"/>
  <c r="I178" i="6" s="1"/>
  <c r="J178" i="6" s="1"/>
  <c r="K178" i="6" s="1"/>
  <c r="L25" i="22" s="1"/>
  <c r="L7" i="22"/>
  <c r="C213" i="6"/>
  <c r="D213" i="6" s="1"/>
  <c r="E213" i="6" s="1"/>
  <c r="F213" i="6" s="1"/>
  <c r="G213" i="6" s="1"/>
  <c r="H213" i="6" s="1"/>
  <c r="I213" i="6" s="1"/>
  <c r="J213" i="6" s="1"/>
  <c r="K213" i="6" s="1"/>
  <c r="N26" i="22" s="1"/>
  <c r="N8" i="22"/>
  <c r="B196" i="6"/>
  <c r="B227" i="6"/>
  <c r="C216" i="6"/>
  <c r="D216" i="6" s="1"/>
  <c r="E216" i="6" s="1"/>
  <c r="F216" i="6" s="1"/>
  <c r="G216" i="6" s="1"/>
  <c r="H216" i="6" s="1"/>
  <c r="I216" i="6" s="1"/>
  <c r="J216" i="6" s="1"/>
  <c r="K216" i="6" s="1"/>
  <c r="N29" i="22" s="1"/>
  <c r="N11" i="22"/>
  <c r="C180" i="6"/>
  <c r="D180" i="6" s="1"/>
  <c r="E180" i="6" s="1"/>
  <c r="F180" i="6" s="1"/>
  <c r="G180" i="6" s="1"/>
  <c r="H180" i="6" s="1"/>
  <c r="I180" i="6" s="1"/>
  <c r="J180" i="6" s="1"/>
  <c r="K180" i="6" s="1"/>
  <c r="L27" i="22" s="1"/>
  <c r="L9" i="22"/>
  <c r="C235" i="6"/>
  <c r="C133" i="6"/>
  <c r="D235" i="6" s="1"/>
  <c r="B211" i="6"/>
  <c r="B130" i="6"/>
  <c r="C130" i="6" s="1"/>
  <c r="B127" i="6"/>
  <c r="C127" i="6" s="1"/>
  <c r="B230" i="6"/>
  <c r="C259" i="6"/>
  <c r="D259" i="6" s="1"/>
  <c r="E259" i="6" s="1"/>
  <c r="F259" i="6" s="1"/>
  <c r="G259" i="6" s="1"/>
  <c r="H259" i="6" s="1"/>
  <c r="I259" i="6" s="1"/>
  <c r="J259" i="6" s="1"/>
  <c r="K259" i="6" s="1"/>
  <c r="Q21" i="22" s="1"/>
  <c r="Q3" i="22"/>
  <c r="B199" i="6"/>
  <c r="Q13" i="22"/>
  <c r="C269" i="6"/>
  <c r="D269" i="6" s="1"/>
  <c r="E269" i="6" s="1"/>
  <c r="F269" i="6" s="1"/>
  <c r="G269" i="6" s="1"/>
  <c r="H269" i="6" s="1"/>
  <c r="I269" i="6" s="1"/>
  <c r="J269" i="6" s="1"/>
  <c r="K269" i="6" s="1"/>
  <c r="Q31" i="22" s="1"/>
  <c r="B109" i="6"/>
  <c r="B194" i="6"/>
  <c r="B263" i="6"/>
  <c r="C179" i="6"/>
  <c r="D179" i="6" s="1"/>
  <c r="E179" i="6" s="1"/>
  <c r="F179" i="6" s="1"/>
  <c r="G179" i="6" s="1"/>
  <c r="H179" i="6" s="1"/>
  <c r="I179" i="6" s="1"/>
  <c r="J179" i="6" s="1"/>
  <c r="K179" i="6" s="1"/>
  <c r="L26" i="22" s="1"/>
  <c r="L8" i="22"/>
  <c r="C174" i="6"/>
  <c r="D174" i="6" s="1"/>
  <c r="E174" i="6" s="1"/>
  <c r="F174" i="6" s="1"/>
  <c r="G174" i="6" s="1"/>
  <c r="H174" i="6" s="1"/>
  <c r="I174" i="6" s="1"/>
  <c r="J174" i="6" s="1"/>
  <c r="K174" i="6" s="1"/>
  <c r="L21" i="22" s="1"/>
  <c r="L3" i="22"/>
  <c r="B90" i="6"/>
  <c r="B193" i="6"/>
  <c r="B97" i="6"/>
  <c r="C265" i="6"/>
  <c r="D265" i="6" s="1"/>
  <c r="E265" i="6" s="1"/>
  <c r="F265" i="6" s="1"/>
  <c r="G265" i="6" s="1"/>
  <c r="H265" i="6" s="1"/>
  <c r="I265" i="6" s="1"/>
  <c r="J265" i="6" s="1"/>
  <c r="K265" i="6" s="1"/>
  <c r="Q27" i="22" s="1"/>
  <c r="Q9" i="22"/>
  <c r="B177" i="6"/>
  <c r="B185" i="6" s="1"/>
  <c r="P6" i="22"/>
  <c r="C249" i="6"/>
  <c r="D249" i="6" s="1"/>
  <c r="E249" i="6" s="1"/>
  <c r="F249" i="6" s="1"/>
  <c r="G249" i="6" s="1"/>
  <c r="H249" i="6" s="1"/>
  <c r="I249" i="6" s="1"/>
  <c r="J249" i="6" s="1"/>
  <c r="K249" i="6" s="1"/>
  <c r="P28" i="22" s="1"/>
  <c r="P10" i="22"/>
  <c r="B88" i="6"/>
  <c r="B229" i="6"/>
  <c r="C247" i="6"/>
  <c r="D247" i="6" s="1"/>
  <c r="E247" i="6" s="1"/>
  <c r="P8" i="22"/>
  <c r="C208" i="6"/>
  <c r="D208" i="6" s="1"/>
  <c r="E208" i="6" s="1"/>
  <c r="F208" i="6" s="1"/>
  <c r="G208" i="6" s="1"/>
  <c r="H208" i="6" s="1"/>
  <c r="I208" i="6" s="1"/>
  <c r="J208" i="6" s="1"/>
  <c r="K208" i="6" s="1"/>
  <c r="N21" i="22" s="1"/>
  <c r="N3" i="22"/>
  <c r="C225" i="6"/>
  <c r="D225" i="6" s="1"/>
  <c r="E225" i="6" s="1"/>
  <c r="F225" i="6" s="1"/>
  <c r="G225" i="6" s="1"/>
  <c r="H225" i="6" s="1"/>
  <c r="I225" i="6" s="1"/>
  <c r="J225" i="6" s="1"/>
  <c r="K225" i="6" s="1"/>
  <c r="O21" i="22" s="1"/>
  <c r="O3" i="22"/>
  <c r="B260" i="6"/>
  <c r="B125" i="6"/>
  <c r="C125" i="6" s="1"/>
  <c r="B267" i="6"/>
  <c r="C215" i="6"/>
  <c r="D215" i="6" s="1"/>
  <c r="E215" i="6" s="1"/>
  <c r="F215" i="6" s="1"/>
  <c r="G215" i="6" s="1"/>
  <c r="H215" i="6" s="1"/>
  <c r="I215" i="6" s="1"/>
  <c r="J215" i="6" s="1"/>
  <c r="K215" i="6" s="1"/>
  <c r="N28" i="22" s="1"/>
  <c r="N10" i="22"/>
  <c r="C207" i="6"/>
  <c r="N2" i="22"/>
  <c r="B219" i="6"/>
  <c r="B258" i="6"/>
  <c r="B94" i="6"/>
  <c r="C209" i="6"/>
  <c r="D209" i="6" s="1"/>
  <c r="E209" i="6" s="1"/>
  <c r="F209" i="6" s="1"/>
  <c r="G209" i="6" s="1"/>
  <c r="H209" i="6" s="1"/>
  <c r="I209" i="6" s="1"/>
  <c r="J209" i="6" s="1"/>
  <c r="K209" i="6" s="1"/>
  <c r="N22" i="22" s="1"/>
  <c r="N4" i="22"/>
  <c r="B91" i="6"/>
  <c r="B159" i="6" s="1"/>
  <c r="K5" i="22" s="1"/>
  <c r="B131" i="6"/>
  <c r="C131" i="6" s="1"/>
  <c r="D131" i="6" s="1"/>
  <c r="E131" i="6" s="1"/>
  <c r="F131" i="6" s="1"/>
  <c r="G131" i="6" s="1"/>
  <c r="H131" i="6" s="1"/>
  <c r="I131" i="6" s="1"/>
  <c r="J131" i="6" s="1"/>
  <c r="K131" i="6" s="1"/>
  <c r="C231" i="6"/>
  <c r="D231" i="6" s="1"/>
  <c r="E231" i="6" s="1"/>
  <c r="F231" i="6" s="1"/>
  <c r="G231" i="6" s="1"/>
  <c r="H231" i="6" s="1"/>
  <c r="I231" i="6" s="1"/>
  <c r="J231" i="6" s="1"/>
  <c r="K231" i="6" s="1"/>
  <c r="O27" i="22" s="1"/>
  <c r="O9" i="22"/>
  <c r="C251" i="6"/>
  <c r="C234" i="6"/>
  <c r="C268" i="6"/>
  <c r="C183" i="6"/>
  <c r="C217" i="6"/>
  <c r="C248" i="6"/>
  <c r="D248" i="6" s="1"/>
  <c r="E248" i="6" s="1"/>
  <c r="F248" i="6" s="1"/>
  <c r="G248" i="6" s="1"/>
  <c r="H248" i="6" s="1"/>
  <c r="I248" i="6" s="1"/>
  <c r="J248" i="6" s="1"/>
  <c r="K248" i="6" s="1"/>
  <c r="P27" i="22" s="1"/>
  <c r="P9" i="22"/>
  <c r="C181" i="6"/>
  <c r="D181" i="6" s="1"/>
  <c r="E181" i="6" s="1"/>
  <c r="F181" i="6" s="1"/>
  <c r="G181" i="6" s="1"/>
  <c r="H181" i="6" s="1"/>
  <c r="I181" i="6" s="1"/>
  <c r="J181" i="6" s="1"/>
  <c r="K181" i="6" s="1"/>
  <c r="L28" i="22" s="1"/>
  <c r="L10" i="22"/>
  <c r="C191" i="6"/>
  <c r="D191" i="6" s="1"/>
  <c r="E191" i="6" s="1"/>
  <c r="F191" i="6" s="1"/>
  <c r="G191" i="6" s="1"/>
  <c r="H191" i="6" s="1"/>
  <c r="I191" i="6" s="1"/>
  <c r="J191" i="6" s="1"/>
  <c r="K191" i="6" s="1"/>
  <c r="M21" i="22" s="1"/>
  <c r="M3" i="22"/>
  <c r="C175" i="6"/>
  <c r="D175" i="6" s="1"/>
  <c r="E175" i="6" s="1"/>
  <c r="F175" i="6" s="1"/>
  <c r="G175" i="6" s="1"/>
  <c r="H175" i="6" s="1"/>
  <c r="I175" i="6" s="1"/>
  <c r="J175" i="6" s="1"/>
  <c r="K175" i="6" s="1"/>
  <c r="L22" i="22" s="1"/>
  <c r="L4" i="22"/>
  <c r="C243" i="6"/>
  <c r="D243" i="6" s="1"/>
  <c r="E243" i="6" s="1"/>
  <c r="F243" i="6" s="1"/>
  <c r="G243" i="6" s="1"/>
  <c r="H243" i="6" s="1"/>
  <c r="I243" i="6" s="1"/>
  <c r="J243" i="6" s="1"/>
  <c r="K243" i="6" s="1"/>
  <c r="P22" i="22" s="1"/>
  <c r="P4" i="22"/>
  <c r="C197" i="6"/>
  <c r="D197" i="6" s="1"/>
  <c r="E197" i="6" s="1"/>
  <c r="F197" i="6" s="1"/>
  <c r="G197" i="6" s="1"/>
  <c r="H197" i="6" s="1"/>
  <c r="I197" i="6" s="1"/>
  <c r="J197" i="6" s="1"/>
  <c r="K197" i="6" s="1"/>
  <c r="M27" i="22" s="1"/>
  <c r="M9" i="22"/>
  <c r="B31" i="5"/>
  <c r="B36" i="5"/>
  <c r="B41" i="5"/>
  <c r="I12" i="22"/>
  <c r="B200" i="6"/>
  <c r="M12" i="22" s="1"/>
  <c r="B201" i="6"/>
  <c r="B167" i="6"/>
  <c r="F3" i="22"/>
  <c r="C242" i="6"/>
  <c r="D242" i="6" s="1"/>
  <c r="E242" i="6" s="1"/>
  <c r="F242" i="6" s="1"/>
  <c r="G242" i="6" s="1"/>
  <c r="H242" i="6" s="1"/>
  <c r="I242" i="6" s="1"/>
  <c r="J242" i="6" s="1"/>
  <c r="K242" i="6" s="1"/>
  <c r="P21" i="22" s="1"/>
  <c r="B253" i="6"/>
  <c r="P14" i="22" s="1"/>
  <c r="C9" i="22"/>
  <c r="C13" i="22"/>
  <c r="C218" i="6"/>
  <c r="C31" i="6"/>
  <c r="D218" i="6" s="1"/>
  <c r="B163" i="6"/>
  <c r="K9" i="22" s="1"/>
  <c r="B49" i="6"/>
  <c r="B15" i="27" s="1"/>
  <c r="B16" i="27" s="1"/>
  <c r="C48" i="6"/>
  <c r="D184" i="6" s="1"/>
  <c r="C241" i="6"/>
  <c r="D245" i="6"/>
  <c r="D77" i="49"/>
  <c r="G9" i="22"/>
  <c r="C77" i="49"/>
  <c r="C32" i="43"/>
  <c r="C34" i="43" s="1"/>
  <c r="B84" i="49"/>
  <c r="B16" i="49"/>
  <c r="B88" i="49" s="1"/>
  <c r="D14" i="49"/>
  <c r="C12" i="49"/>
  <c r="C84" i="49" s="1"/>
  <c r="C21" i="43"/>
  <c r="B143" i="6"/>
  <c r="B22" i="6"/>
  <c r="C22" i="6" s="1"/>
  <c r="D22" i="6" s="1"/>
  <c r="E22" i="6" s="1"/>
  <c r="F22" i="6" s="1"/>
  <c r="G22" i="6" s="1"/>
  <c r="H22" i="6" s="1"/>
  <c r="I22" i="6" s="1"/>
  <c r="J22" i="6" s="1"/>
  <c r="K22" i="6" s="1"/>
  <c r="C22" i="22" s="1"/>
  <c r="C90" i="6"/>
  <c r="I4" i="22"/>
  <c r="B56" i="6"/>
  <c r="C56" i="6" s="1"/>
  <c r="D56" i="6" s="1"/>
  <c r="E56" i="6" s="1"/>
  <c r="F56" i="6" s="1"/>
  <c r="G56" i="6" s="1"/>
  <c r="H56" i="6" s="1"/>
  <c r="I56" i="6" s="1"/>
  <c r="J56" i="6" s="1"/>
  <c r="K56" i="6" s="1"/>
  <c r="E22" i="22" s="1"/>
  <c r="B28" i="6"/>
  <c r="C28" i="6" s="1"/>
  <c r="D28" i="6" s="1"/>
  <c r="E28" i="6" s="1"/>
  <c r="F28" i="6" s="1"/>
  <c r="G28" i="6" s="1"/>
  <c r="H28" i="6" s="1"/>
  <c r="I28" i="6" s="1"/>
  <c r="J28" i="6" s="1"/>
  <c r="K28" i="6" s="1"/>
  <c r="C28" i="22" s="1"/>
  <c r="D130" i="6"/>
  <c r="E130" i="6" s="1"/>
  <c r="F130" i="6" s="1"/>
  <c r="G130" i="6" s="1"/>
  <c r="H130" i="6" s="1"/>
  <c r="I130" i="6" s="1"/>
  <c r="J130" i="6" s="1"/>
  <c r="K130" i="6" s="1"/>
  <c r="I28" i="22" s="1"/>
  <c r="B62" i="6"/>
  <c r="E10" i="22" s="1"/>
  <c r="B164" i="6"/>
  <c r="K10" i="22" s="1"/>
  <c r="B25" i="6"/>
  <c r="C7" i="22" s="1"/>
  <c r="B59" i="6"/>
  <c r="C59" i="6" s="1"/>
  <c r="D59" i="6" s="1"/>
  <c r="E59" i="6" s="1"/>
  <c r="F59" i="6" s="1"/>
  <c r="G59" i="6" s="1"/>
  <c r="H59" i="6" s="1"/>
  <c r="I59" i="6" s="1"/>
  <c r="J59" i="6" s="1"/>
  <c r="K59" i="6" s="1"/>
  <c r="E25" i="22" s="1"/>
  <c r="C93" i="6"/>
  <c r="D127" i="6"/>
  <c r="E127" i="6" s="1"/>
  <c r="F127" i="6" s="1"/>
  <c r="G127" i="6" s="1"/>
  <c r="H127" i="6" s="1"/>
  <c r="I127" i="6" s="1"/>
  <c r="J127" i="6" s="1"/>
  <c r="K127" i="6" s="1"/>
  <c r="B24" i="6"/>
  <c r="B58" i="6"/>
  <c r="C58" i="6" s="1"/>
  <c r="B114" i="38"/>
  <c r="B131" i="38" s="1"/>
  <c r="B148" i="38" s="1"/>
  <c r="B165" i="38" s="1"/>
  <c r="B183" i="38" s="1"/>
  <c r="B200" i="38" s="1"/>
  <c r="C200" i="38" s="1"/>
  <c r="D200" i="38" s="1"/>
  <c r="E200" i="38" s="1"/>
  <c r="F200" i="38" s="1"/>
  <c r="G200" i="38" s="1"/>
  <c r="H200" i="38" s="1"/>
  <c r="I200" i="38" s="1"/>
  <c r="J200" i="38" s="1"/>
  <c r="K200" i="38" s="1"/>
  <c r="B117" i="6"/>
  <c r="B54" i="6"/>
  <c r="B57" i="6"/>
  <c r="C57" i="6" s="1"/>
  <c r="D57" i="6" s="1"/>
  <c r="E57" i="6" s="1"/>
  <c r="F57" i="6" s="1"/>
  <c r="G57" i="6" s="1"/>
  <c r="H57" i="6" s="1"/>
  <c r="I57" i="6" s="1"/>
  <c r="J57" i="6" s="1"/>
  <c r="K57" i="6" s="1"/>
  <c r="E23" i="22" s="1"/>
  <c r="B23" i="6"/>
  <c r="C23" i="6" s="1"/>
  <c r="D23" i="6" s="1"/>
  <c r="E23" i="6" s="1"/>
  <c r="F23" i="6" s="1"/>
  <c r="G23" i="6" s="1"/>
  <c r="H23" i="6" s="1"/>
  <c r="I23" i="6" s="1"/>
  <c r="J23" i="6" s="1"/>
  <c r="K23" i="6" s="1"/>
  <c r="C23" i="22" s="1"/>
  <c r="I5" i="22"/>
  <c r="D128" i="6"/>
  <c r="E128" i="6" s="1"/>
  <c r="F128" i="6" s="1"/>
  <c r="G128" i="6" s="1"/>
  <c r="H128" i="6" s="1"/>
  <c r="I128" i="6" s="1"/>
  <c r="J128" i="6" s="1"/>
  <c r="K128" i="6" s="1"/>
  <c r="I26" i="22" s="1"/>
  <c r="B162" i="6"/>
  <c r="K8" i="22" s="1"/>
  <c r="B60" i="6"/>
  <c r="C60" i="6" s="1"/>
  <c r="D60" i="6" s="1"/>
  <c r="E60" i="6" s="1"/>
  <c r="F60" i="6" s="1"/>
  <c r="G60" i="6" s="1"/>
  <c r="H60" i="6" s="1"/>
  <c r="I60" i="6" s="1"/>
  <c r="J60" i="6" s="1"/>
  <c r="K60" i="6" s="1"/>
  <c r="E26" i="22" s="1"/>
  <c r="B26" i="6"/>
  <c r="C26" i="6" s="1"/>
  <c r="D26" i="6" s="1"/>
  <c r="E26" i="6" s="1"/>
  <c r="F26" i="6" s="1"/>
  <c r="G26" i="6" s="1"/>
  <c r="H26" i="6" s="1"/>
  <c r="I26" i="6" s="1"/>
  <c r="J26" i="6" s="1"/>
  <c r="K26" i="6" s="1"/>
  <c r="C26" i="22" s="1"/>
  <c r="B29" i="6"/>
  <c r="C11" i="22" s="1"/>
  <c r="B63" i="6"/>
  <c r="C63" i="6" s="1"/>
  <c r="D63" i="6" s="1"/>
  <c r="E63" i="6" s="1"/>
  <c r="F63" i="6" s="1"/>
  <c r="G63" i="6" s="1"/>
  <c r="H63" i="6" s="1"/>
  <c r="I63" i="6" s="1"/>
  <c r="J63" i="6" s="1"/>
  <c r="K63" i="6" s="1"/>
  <c r="E29" i="22" s="1"/>
  <c r="C97" i="6"/>
  <c r="B112" i="38"/>
  <c r="B129" i="38" s="1"/>
  <c r="B146" i="38" s="1"/>
  <c r="B163" i="38" s="1"/>
  <c r="B181" i="38" s="1"/>
  <c r="B198" i="38" s="1"/>
  <c r="C198" i="38" s="1"/>
  <c r="D198" i="38" s="1"/>
  <c r="E198" i="38" s="1"/>
  <c r="F198" i="38" s="1"/>
  <c r="G198" i="38" s="1"/>
  <c r="H198" i="38" s="1"/>
  <c r="I198" i="38" s="1"/>
  <c r="J198" i="38" s="1"/>
  <c r="K198" i="38" s="1"/>
  <c r="I9" i="22"/>
  <c r="D133" i="6"/>
  <c r="B109" i="38"/>
  <c r="B126" i="38" s="1"/>
  <c r="B143" i="38" s="1"/>
  <c r="B160" i="38" s="1"/>
  <c r="B178" i="38" s="1"/>
  <c r="B195" i="38" s="1"/>
  <c r="C195" i="38" s="1"/>
  <c r="D195" i="38" s="1"/>
  <c r="E195" i="38" s="1"/>
  <c r="F195" i="38" s="1"/>
  <c r="G195" i="38" s="1"/>
  <c r="H195" i="38" s="1"/>
  <c r="I195" i="38" s="1"/>
  <c r="J195" i="38" s="1"/>
  <c r="K195" i="38" s="1"/>
  <c r="B9" i="22"/>
  <c r="B179" i="37"/>
  <c r="B196" i="37" s="1"/>
  <c r="C196" i="37" s="1"/>
  <c r="D196" i="37" s="1"/>
  <c r="E196" i="37" s="1"/>
  <c r="F196" i="37" s="1"/>
  <c r="G196" i="37" s="1"/>
  <c r="H196" i="37" s="1"/>
  <c r="I196" i="37" s="1"/>
  <c r="J196" i="37" s="1"/>
  <c r="K196" i="37" s="1"/>
  <c r="B91" i="38"/>
  <c r="B108" i="38" s="1"/>
  <c r="B125" i="38" s="1"/>
  <c r="B142" i="38" s="1"/>
  <c r="B159" i="38" s="1"/>
  <c r="B177" i="38" s="1"/>
  <c r="B194" i="38" s="1"/>
  <c r="C194" i="38" s="1"/>
  <c r="D194" i="38" s="1"/>
  <c r="E194" i="38" s="1"/>
  <c r="F194" i="38" s="1"/>
  <c r="G194" i="38" s="1"/>
  <c r="H194" i="38" s="1"/>
  <c r="I194" i="38" s="1"/>
  <c r="J194" i="38" s="1"/>
  <c r="K194" i="38" s="1"/>
  <c r="B19" i="36"/>
  <c r="B21" i="36"/>
  <c r="B33" i="36" s="1"/>
  <c r="C4" i="37"/>
  <c r="C4" i="36"/>
  <c r="C4" i="38"/>
  <c r="C4" i="35"/>
  <c r="C72" i="6"/>
  <c r="D72" i="6" s="1"/>
  <c r="D140" i="6" s="1"/>
  <c r="B7" i="22"/>
  <c r="C8" i="37"/>
  <c r="C25" i="37" s="1"/>
  <c r="C42" i="37" s="1"/>
  <c r="C59" i="37" s="1"/>
  <c r="C76" i="37" s="1"/>
  <c r="C93" i="37" s="1"/>
  <c r="C110" i="37" s="1"/>
  <c r="C127" i="37" s="1"/>
  <c r="C144" i="37" s="1"/>
  <c r="C161" i="37" s="1"/>
  <c r="C179" i="37" s="1"/>
  <c r="C8" i="38"/>
  <c r="C25" i="38" s="1"/>
  <c r="C42" i="38" s="1"/>
  <c r="C59" i="38" s="1"/>
  <c r="C76" i="38" s="1"/>
  <c r="C8" i="36"/>
  <c r="C25" i="36" s="1"/>
  <c r="C42" i="36" s="1"/>
  <c r="C8" i="35"/>
  <c r="C25" i="35" s="1"/>
  <c r="C42" i="35" s="1"/>
  <c r="C59" i="35" s="1"/>
  <c r="C76" i="35" s="1"/>
  <c r="C93" i="35" s="1"/>
  <c r="C110" i="35" s="1"/>
  <c r="C127" i="35" s="1"/>
  <c r="C144" i="35" s="1"/>
  <c r="C161" i="35" s="1"/>
  <c r="C179" i="35" s="1"/>
  <c r="B64" i="36"/>
  <c r="B81" i="36" s="1"/>
  <c r="B98" i="36" s="1"/>
  <c r="B115" i="36" s="1"/>
  <c r="B132" i="36" s="1"/>
  <c r="B149" i="36" s="1"/>
  <c r="B166" i="36" s="1"/>
  <c r="B184" i="36" s="1"/>
  <c r="B201" i="36" s="1"/>
  <c r="C201" i="36" s="1"/>
  <c r="D201" i="36" s="1"/>
  <c r="E201" i="36" s="1"/>
  <c r="F201" i="36" s="1"/>
  <c r="G201" i="36" s="1"/>
  <c r="H201" i="36" s="1"/>
  <c r="I201" i="36" s="1"/>
  <c r="J201" i="36" s="1"/>
  <c r="K201" i="36" s="1"/>
  <c r="B21" i="37"/>
  <c r="B33" i="37" s="1"/>
  <c r="B19" i="37"/>
  <c r="C16" i="37"/>
  <c r="C16" i="38"/>
  <c r="C16" i="36"/>
  <c r="C16" i="35"/>
  <c r="B83" i="6"/>
  <c r="L83" i="6" s="1"/>
  <c r="C11" i="38"/>
  <c r="C28" i="38" s="1"/>
  <c r="C45" i="38" s="1"/>
  <c r="C62" i="38" s="1"/>
  <c r="C79" i="38" s="1"/>
  <c r="C96" i="38" s="1"/>
  <c r="C113" i="38" s="1"/>
  <c r="C130" i="38" s="1"/>
  <c r="C147" i="38" s="1"/>
  <c r="C164" i="38" s="1"/>
  <c r="C182" i="38" s="1"/>
  <c r="C11" i="36"/>
  <c r="C28" i="36" s="1"/>
  <c r="C45" i="36" s="1"/>
  <c r="C62" i="36" s="1"/>
  <c r="C79" i="36" s="1"/>
  <c r="C96" i="36" s="1"/>
  <c r="C113" i="36" s="1"/>
  <c r="C130" i="36" s="1"/>
  <c r="C147" i="36" s="1"/>
  <c r="C164" i="36" s="1"/>
  <c r="C182" i="36" s="1"/>
  <c r="C11" i="37"/>
  <c r="C28" i="37" s="1"/>
  <c r="C45" i="37" s="1"/>
  <c r="C62" i="37" s="1"/>
  <c r="C79" i="37" s="1"/>
  <c r="C96" i="37" s="1"/>
  <c r="C113" i="37" s="1"/>
  <c r="C130" i="37" s="1"/>
  <c r="C147" i="37" s="1"/>
  <c r="C164" i="37" s="1"/>
  <c r="C182" i="37" s="1"/>
  <c r="C11" i="35"/>
  <c r="C28" i="35" s="1"/>
  <c r="C45" i="35" s="1"/>
  <c r="C62" i="35" s="1"/>
  <c r="C79" i="35" s="1"/>
  <c r="C96" i="35" s="1"/>
  <c r="C113" i="35" s="1"/>
  <c r="C130" i="35" s="1"/>
  <c r="C147" i="35" s="1"/>
  <c r="C164" i="35" s="1"/>
  <c r="C182" i="35" s="1"/>
  <c r="B98" i="38"/>
  <c r="B115" i="38" s="1"/>
  <c r="B132" i="38" s="1"/>
  <c r="B149" i="38" s="1"/>
  <c r="B166" i="38" s="1"/>
  <c r="B184" i="38" s="1"/>
  <c r="B201" i="38" s="1"/>
  <c r="C201" i="38" s="1"/>
  <c r="D201" i="38" s="1"/>
  <c r="E201" i="38" s="1"/>
  <c r="F201" i="38" s="1"/>
  <c r="G201" i="38" s="1"/>
  <c r="H201" i="38" s="1"/>
  <c r="I201" i="38" s="1"/>
  <c r="J201" i="38" s="1"/>
  <c r="K201" i="38" s="1"/>
  <c r="C7" i="37"/>
  <c r="C24" i="37" s="1"/>
  <c r="C41" i="37" s="1"/>
  <c r="C58" i="37" s="1"/>
  <c r="C75" i="37" s="1"/>
  <c r="C92" i="37" s="1"/>
  <c r="C109" i="37" s="1"/>
  <c r="C126" i="37" s="1"/>
  <c r="C143" i="37" s="1"/>
  <c r="C160" i="37" s="1"/>
  <c r="C178" i="37" s="1"/>
  <c r="C7" i="36"/>
  <c r="C24" i="36" s="1"/>
  <c r="C41" i="36" s="1"/>
  <c r="C7" i="38"/>
  <c r="C24" i="38" s="1"/>
  <c r="C41" i="38" s="1"/>
  <c r="C58" i="38" s="1"/>
  <c r="C75" i="38" s="1"/>
  <c r="C7" i="35"/>
  <c r="C24" i="35" s="1"/>
  <c r="C41" i="35" s="1"/>
  <c r="C58" i="35" s="1"/>
  <c r="C75" i="35" s="1"/>
  <c r="C92" i="35" s="1"/>
  <c r="C109" i="35" s="1"/>
  <c r="C126" i="35" s="1"/>
  <c r="C143" i="35" s="1"/>
  <c r="C160" i="35" s="1"/>
  <c r="C178" i="35" s="1"/>
  <c r="C12" i="37"/>
  <c r="C29" i="37" s="1"/>
  <c r="C46" i="37" s="1"/>
  <c r="C63" i="37" s="1"/>
  <c r="C80" i="37" s="1"/>
  <c r="C97" i="37" s="1"/>
  <c r="C114" i="37" s="1"/>
  <c r="C131" i="37" s="1"/>
  <c r="C148" i="37" s="1"/>
  <c r="C165" i="37" s="1"/>
  <c r="C183" i="37" s="1"/>
  <c r="C12" i="36"/>
  <c r="C29" i="36" s="1"/>
  <c r="C46" i="36" s="1"/>
  <c r="C63" i="36" s="1"/>
  <c r="C80" i="36" s="1"/>
  <c r="C97" i="36" s="1"/>
  <c r="C114" i="36" s="1"/>
  <c r="C131" i="36" s="1"/>
  <c r="C148" i="36" s="1"/>
  <c r="C165" i="36" s="1"/>
  <c r="C183" i="36" s="1"/>
  <c r="C12" i="38"/>
  <c r="C29" i="38" s="1"/>
  <c r="C46" i="38" s="1"/>
  <c r="C63" i="38" s="1"/>
  <c r="C80" i="38" s="1"/>
  <c r="C12" i="35"/>
  <c r="C29" i="35" s="1"/>
  <c r="C46" i="35" s="1"/>
  <c r="C63" i="35" s="1"/>
  <c r="C80" i="35" s="1"/>
  <c r="C97" i="35" s="1"/>
  <c r="C114" i="35" s="1"/>
  <c r="C131" i="35" s="1"/>
  <c r="C148" i="35" s="1"/>
  <c r="C165" i="35" s="1"/>
  <c r="C183" i="35" s="1"/>
  <c r="B62" i="36"/>
  <c r="B79" i="36" s="1"/>
  <c r="B96" i="36" s="1"/>
  <c r="B113" i="36" s="1"/>
  <c r="B130" i="36" s="1"/>
  <c r="B147" i="36" s="1"/>
  <c r="B164" i="36" s="1"/>
  <c r="B182" i="36" s="1"/>
  <c r="B199" i="36" s="1"/>
  <c r="C199" i="36" s="1"/>
  <c r="D199" i="36" s="1"/>
  <c r="E199" i="36" s="1"/>
  <c r="F199" i="36" s="1"/>
  <c r="G199" i="36" s="1"/>
  <c r="H199" i="36" s="1"/>
  <c r="I199" i="36" s="1"/>
  <c r="J199" i="36" s="1"/>
  <c r="K199" i="36" s="1"/>
  <c r="B56" i="36"/>
  <c r="B73" i="36" s="1"/>
  <c r="B90" i="36" s="1"/>
  <c r="B107" i="36" s="1"/>
  <c r="B124" i="36" s="1"/>
  <c r="B141" i="36" s="1"/>
  <c r="B158" i="36" s="1"/>
  <c r="B176" i="36" s="1"/>
  <c r="B193" i="36" s="1"/>
  <c r="C193" i="36" s="1"/>
  <c r="D193" i="36" s="1"/>
  <c r="E193" i="36" s="1"/>
  <c r="F193" i="36" s="1"/>
  <c r="G193" i="36" s="1"/>
  <c r="H193" i="36" s="1"/>
  <c r="I193" i="36" s="1"/>
  <c r="J193" i="36" s="1"/>
  <c r="K193" i="36" s="1"/>
  <c r="B2" i="22"/>
  <c r="B15" i="6"/>
  <c r="C91" i="38"/>
  <c r="C108" i="38" s="1"/>
  <c r="C125" i="38" s="1"/>
  <c r="C142" i="38" s="1"/>
  <c r="C159" i="38" s="1"/>
  <c r="C177" i="38" s="1"/>
  <c r="C9" i="37"/>
  <c r="C26" i="37" s="1"/>
  <c r="C43" i="37" s="1"/>
  <c r="C60" i="37" s="1"/>
  <c r="C77" i="37" s="1"/>
  <c r="C94" i="37" s="1"/>
  <c r="C111" i="37" s="1"/>
  <c r="C128" i="37" s="1"/>
  <c r="C145" i="37" s="1"/>
  <c r="C162" i="37" s="1"/>
  <c r="C180" i="37" s="1"/>
  <c r="C9" i="38"/>
  <c r="C26" i="38" s="1"/>
  <c r="C43" i="38" s="1"/>
  <c r="C60" i="38" s="1"/>
  <c r="C77" i="38" s="1"/>
  <c r="C94" i="38" s="1"/>
  <c r="C111" i="38" s="1"/>
  <c r="C128" i="38" s="1"/>
  <c r="C145" i="38" s="1"/>
  <c r="C162" i="38" s="1"/>
  <c r="C180" i="38" s="1"/>
  <c r="C9" i="35"/>
  <c r="C26" i="35" s="1"/>
  <c r="C43" i="35" s="1"/>
  <c r="C60" i="35" s="1"/>
  <c r="C77" i="35" s="1"/>
  <c r="C94" i="35" s="1"/>
  <c r="C111" i="35" s="1"/>
  <c r="C128" i="35" s="1"/>
  <c r="C145" i="35" s="1"/>
  <c r="C162" i="35" s="1"/>
  <c r="C180" i="35" s="1"/>
  <c r="C9" i="36"/>
  <c r="C26" i="36" s="1"/>
  <c r="C43" i="36" s="1"/>
  <c r="C5" i="37"/>
  <c r="C22" i="37" s="1"/>
  <c r="C39" i="37" s="1"/>
  <c r="C56" i="37" s="1"/>
  <c r="C73" i="37" s="1"/>
  <c r="C90" i="37" s="1"/>
  <c r="C107" i="37" s="1"/>
  <c r="C124" i="37" s="1"/>
  <c r="C141" i="37" s="1"/>
  <c r="C158" i="37" s="1"/>
  <c r="C176" i="37" s="1"/>
  <c r="C5" i="38"/>
  <c r="C22" i="38" s="1"/>
  <c r="C39" i="38" s="1"/>
  <c r="C56" i="38" s="1"/>
  <c r="C73" i="38" s="1"/>
  <c r="C5" i="36"/>
  <c r="C22" i="36" s="1"/>
  <c r="C39" i="36" s="1"/>
  <c r="C5" i="35"/>
  <c r="C22" i="35" s="1"/>
  <c r="C39" i="35" s="1"/>
  <c r="C56" i="35" s="1"/>
  <c r="C73" i="35" s="1"/>
  <c r="C90" i="35" s="1"/>
  <c r="C107" i="35" s="1"/>
  <c r="C124" i="35" s="1"/>
  <c r="C141" i="35" s="1"/>
  <c r="C158" i="35" s="1"/>
  <c r="C176" i="35" s="1"/>
  <c r="C13" i="37"/>
  <c r="C30" i="37" s="1"/>
  <c r="C47" i="37" s="1"/>
  <c r="C64" i="37" s="1"/>
  <c r="C81" i="37" s="1"/>
  <c r="C98" i="37" s="1"/>
  <c r="C115" i="37" s="1"/>
  <c r="C132" i="37" s="1"/>
  <c r="C149" i="37" s="1"/>
  <c r="C166" i="37" s="1"/>
  <c r="C184" i="37" s="1"/>
  <c r="C13" i="38"/>
  <c r="C30" i="38" s="1"/>
  <c r="C47" i="38" s="1"/>
  <c r="C64" i="38" s="1"/>
  <c r="C81" i="38" s="1"/>
  <c r="C13" i="36"/>
  <c r="C30" i="36" s="1"/>
  <c r="C47" i="36" s="1"/>
  <c r="C13" i="35"/>
  <c r="C30" i="35" s="1"/>
  <c r="C47" i="35" s="1"/>
  <c r="C64" i="35" s="1"/>
  <c r="C81" i="35" s="1"/>
  <c r="C98" i="35" s="1"/>
  <c r="C115" i="35" s="1"/>
  <c r="C132" i="35" s="1"/>
  <c r="C149" i="35" s="1"/>
  <c r="C166" i="35" s="1"/>
  <c r="C184" i="35" s="1"/>
  <c r="C57" i="36"/>
  <c r="C74" i="36" s="1"/>
  <c r="C91" i="36" s="1"/>
  <c r="C108" i="36" s="1"/>
  <c r="C125" i="36" s="1"/>
  <c r="C142" i="36" s="1"/>
  <c r="C159" i="36" s="1"/>
  <c r="C177" i="36" s="1"/>
  <c r="B57" i="36"/>
  <c r="B74" i="36" s="1"/>
  <c r="B91" i="36" s="1"/>
  <c r="B108" i="36" s="1"/>
  <c r="B125" i="36" s="1"/>
  <c r="B142" i="36" s="1"/>
  <c r="B159" i="36" s="1"/>
  <c r="B177" i="36" s="1"/>
  <c r="B194" i="36" s="1"/>
  <c r="C194" i="36" s="1"/>
  <c r="D194" i="36" s="1"/>
  <c r="E194" i="36" s="1"/>
  <c r="F194" i="36" s="1"/>
  <c r="G194" i="36" s="1"/>
  <c r="H194" i="36" s="1"/>
  <c r="I194" i="36" s="1"/>
  <c r="J194" i="36" s="1"/>
  <c r="K194" i="36" s="1"/>
  <c r="B179" i="35"/>
  <c r="B196" i="35" s="1"/>
  <c r="C196" i="35" s="1"/>
  <c r="D196" i="35" s="1"/>
  <c r="E196" i="35" s="1"/>
  <c r="F196" i="35" s="1"/>
  <c r="G196" i="35" s="1"/>
  <c r="H196" i="35" s="1"/>
  <c r="I196" i="35" s="1"/>
  <c r="J196" i="35" s="1"/>
  <c r="K196" i="35" s="1"/>
  <c r="B96" i="38"/>
  <c r="B113" i="38" s="1"/>
  <c r="B130" i="38" s="1"/>
  <c r="B147" i="38" s="1"/>
  <c r="B164" i="38" s="1"/>
  <c r="B182" i="38" s="1"/>
  <c r="B199" i="38" s="1"/>
  <c r="C199" i="38" s="1"/>
  <c r="D199" i="38" s="1"/>
  <c r="E199" i="38" s="1"/>
  <c r="F199" i="38" s="1"/>
  <c r="G199" i="38" s="1"/>
  <c r="H199" i="38" s="1"/>
  <c r="I199" i="38" s="1"/>
  <c r="J199" i="38" s="1"/>
  <c r="K199" i="38" s="1"/>
  <c r="B90" i="38"/>
  <c r="B107" i="38" s="1"/>
  <c r="B124" i="38" s="1"/>
  <c r="B141" i="38" s="1"/>
  <c r="B158" i="38" s="1"/>
  <c r="B176" i="38" s="1"/>
  <c r="B193" i="38" s="1"/>
  <c r="C193" i="38" s="1"/>
  <c r="D193" i="38" s="1"/>
  <c r="E193" i="38" s="1"/>
  <c r="F193" i="38" s="1"/>
  <c r="G193" i="38" s="1"/>
  <c r="H193" i="38" s="1"/>
  <c r="I193" i="38" s="1"/>
  <c r="J193" i="38" s="1"/>
  <c r="K193" i="38" s="1"/>
  <c r="B21" i="35"/>
  <c r="B33" i="35" s="1"/>
  <c r="B19" i="35"/>
  <c r="B100" i="38"/>
  <c r="B117" i="38" s="1"/>
  <c r="B134" i="38" s="1"/>
  <c r="B151" i="38" s="1"/>
  <c r="B168" i="38" s="1"/>
  <c r="B186" i="38" s="1"/>
  <c r="B203" i="38" s="1"/>
  <c r="C203" i="38" s="1"/>
  <c r="D203" i="38" s="1"/>
  <c r="E203" i="38" s="1"/>
  <c r="F203" i="38" s="1"/>
  <c r="G203" i="38" s="1"/>
  <c r="H203" i="38" s="1"/>
  <c r="I203" i="38" s="1"/>
  <c r="J203" i="38" s="1"/>
  <c r="K203" i="38" s="1"/>
  <c r="L49" i="6"/>
  <c r="B58" i="36"/>
  <c r="B75" i="36" s="1"/>
  <c r="B92" i="36" s="1"/>
  <c r="B109" i="36" s="1"/>
  <c r="B126" i="36" s="1"/>
  <c r="B143" i="36" s="1"/>
  <c r="B160" i="36" s="1"/>
  <c r="B178" i="36" s="1"/>
  <c r="B195" i="36" s="1"/>
  <c r="C195" i="36" s="1"/>
  <c r="D195" i="36" s="1"/>
  <c r="E195" i="36" s="1"/>
  <c r="F195" i="36" s="1"/>
  <c r="G195" i="36" s="1"/>
  <c r="H195" i="36" s="1"/>
  <c r="I195" i="36" s="1"/>
  <c r="J195" i="36" s="1"/>
  <c r="K195" i="36" s="1"/>
  <c r="B59" i="36"/>
  <c r="B76" i="36" s="1"/>
  <c r="B93" i="36" s="1"/>
  <c r="B110" i="36" s="1"/>
  <c r="B127" i="36" s="1"/>
  <c r="B144" i="36" s="1"/>
  <c r="B161" i="36" s="1"/>
  <c r="B179" i="36" s="1"/>
  <c r="B196" i="36" s="1"/>
  <c r="C196" i="36" s="1"/>
  <c r="D196" i="36" s="1"/>
  <c r="E196" i="36" s="1"/>
  <c r="F196" i="36" s="1"/>
  <c r="G196" i="36" s="1"/>
  <c r="H196" i="36" s="1"/>
  <c r="I196" i="36" s="1"/>
  <c r="J196" i="36" s="1"/>
  <c r="K196" i="36" s="1"/>
  <c r="C10" i="38"/>
  <c r="C27" i="38" s="1"/>
  <c r="C44" i="38" s="1"/>
  <c r="C61" i="38" s="1"/>
  <c r="C78" i="38" s="1"/>
  <c r="C10" i="37"/>
  <c r="C27" i="37" s="1"/>
  <c r="C44" i="37" s="1"/>
  <c r="C61" i="37" s="1"/>
  <c r="C78" i="37" s="1"/>
  <c r="C95" i="37" s="1"/>
  <c r="C112" i="37" s="1"/>
  <c r="C129" i="37" s="1"/>
  <c r="C146" i="37" s="1"/>
  <c r="C163" i="37" s="1"/>
  <c r="C181" i="37" s="1"/>
  <c r="C10" i="36"/>
  <c r="C27" i="36" s="1"/>
  <c r="C44" i="36" s="1"/>
  <c r="C10" i="35"/>
  <c r="C27" i="35" s="1"/>
  <c r="C44" i="35" s="1"/>
  <c r="C61" i="35" s="1"/>
  <c r="C78" i="35" s="1"/>
  <c r="C95" i="35" s="1"/>
  <c r="C112" i="35" s="1"/>
  <c r="C129" i="35" s="1"/>
  <c r="C146" i="35" s="1"/>
  <c r="C163" i="35" s="1"/>
  <c r="C181" i="35" s="1"/>
  <c r="C14" i="38"/>
  <c r="C31" i="38" s="1"/>
  <c r="C48" i="38" s="1"/>
  <c r="C65" i="38" s="1"/>
  <c r="C82" i="38" s="1"/>
  <c r="C14" i="37"/>
  <c r="C31" i="37" s="1"/>
  <c r="C48" i="37" s="1"/>
  <c r="C65" i="37" s="1"/>
  <c r="C82" i="37" s="1"/>
  <c r="C99" i="37" s="1"/>
  <c r="C116" i="37" s="1"/>
  <c r="C133" i="37" s="1"/>
  <c r="C150" i="37" s="1"/>
  <c r="C167" i="37" s="1"/>
  <c r="C185" i="37" s="1"/>
  <c r="C202" i="37" s="1"/>
  <c r="C14" i="35"/>
  <c r="C31" i="35" s="1"/>
  <c r="C48" i="35" s="1"/>
  <c r="C65" i="35" s="1"/>
  <c r="C82" i="35" s="1"/>
  <c r="C99" i="35" s="1"/>
  <c r="C116" i="35" s="1"/>
  <c r="C133" i="35" s="1"/>
  <c r="C150" i="35" s="1"/>
  <c r="C167" i="35" s="1"/>
  <c r="C185" i="35" s="1"/>
  <c r="C202" i="35" s="1"/>
  <c r="C14" i="36"/>
  <c r="C31" i="36" s="1"/>
  <c r="C48" i="36" s="1"/>
  <c r="C65" i="36" s="1"/>
  <c r="C82" i="36" s="1"/>
  <c r="C99" i="36" s="1"/>
  <c r="C116" i="36" s="1"/>
  <c r="C133" i="36" s="1"/>
  <c r="C150" i="36" s="1"/>
  <c r="C167" i="36" s="1"/>
  <c r="C185" i="36" s="1"/>
  <c r="C202" i="36" s="1"/>
  <c r="K47" i="1"/>
  <c r="C15" i="37"/>
  <c r="C32" i="37" s="1"/>
  <c r="C49" i="37" s="1"/>
  <c r="C66" i="37" s="1"/>
  <c r="C83" i="37" s="1"/>
  <c r="C100" i="37" s="1"/>
  <c r="C117" i="37" s="1"/>
  <c r="C134" i="37" s="1"/>
  <c r="C151" i="37" s="1"/>
  <c r="C168" i="37" s="1"/>
  <c r="C186" i="37" s="1"/>
  <c r="C15" i="36"/>
  <c r="C32" i="36" s="1"/>
  <c r="C49" i="36" s="1"/>
  <c r="C66" i="36" s="1"/>
  <c r="C83" i="36" s="1"/>
  <c r="C100" i="36" s="1"/>
  <c r="C117" i="36" s="1"/>
  <c r="C134" i="36" s="1"/>
  <c r="C151" i="36" s="1"/>
  <c r="C168" i="36" s="1"/>
  <c r="C186" i="36" s="1"/>
  <c r="C15" i="35"/>
  <c r="C32" i="35" s="1"/>
  <c r="C49" i="35" s="1"/>
  <c r="C66" i="35" s="1"/>
  <c r="C83" i="35" s="1"/>
  <c r="C100" i="35" s="1"/>
  <c r="C117" i="35" s="1"/>
  <c r="C134" i="35" s="1"/>
  <c r="C151" i="35" s="1"/>
  <c r="C168" i="35" s="1"/>
  <c r="C186" i="35" s="1"/>
  <c r="C15" i="38"/>
  <c r="C32" i="38" s="1"/>
  <c r="C49" i="38" s="1"/>
  <c r="C66" i="38" s="1"/>
  <c r="C83" i="38" s="1"/>
  <c r="B93" i="38"/>
  <c r="B110" i="38" s="1"/>
  <c r="B127" i="38" s="1"/>
  <c r="B144" i="38" s="1"/>
  <c r="B161" i="38" s="1"/>
  <c r="B94" i="38"/>
  <c r="B111" i="38" s="1"/>
  <c r="B128" i="38" s="1"/>
  <c r="B145" i="38" s="1"/>
  <c r="B162" i="38" s="1"/>
  <c r="B180" i="38" s="1"/>
  <c r="B197" i="38" s="1"/>
  <c r="C197" i="38" s="1"/>
  <c r="D197" i="38" s="1"/>
  <c r="E197" i="38" s="1"/>
  <c r="F197" i="38" s="1"/>
  <c r="G197" i="38" s="1"/>
  <c r="H197" i="38" s="1"/>
  <c r="I197" i="38" s="1"/>
  <c r="J197" i="38" s="1"/>
  <c r="K197" i="38" s="1"/>
  <c r="B21" i="38"/>
  <c r="B19" i="38"/>
  <c r="B6" i="22"/>
  <c r="I27" i="22"/>
  <c r="C44" i="6"/>
  <c r="D44" i="6" s="1"/>
  <c r="E44" i="6" s="1"/>
  <c r="F44" i="6" s="1"/>
  <c r="G44" i="6" s="1"/>
  <c r="H44" i="6" s="1"/>
  <c r="I44" i="6" s="1"/>
  <c r="J44" i="6" s="1"/>
  <c r="K44" i="6" s="1"/>
  <c r="D27" i="22" s="1"/>
  <c r="D31" i="6"/>
  <c r="C17" i="2"/>
  <c r="F13" i="22"/>
  <c r="C82" i="6"/>
  <c r="D82" i="6" s="1"/>
  <c r="E82" i="6" s="1"/>
  <c r="F82" i="6" s="1"/>
  <c r="G82" i="6" s="1"/>
  <c r="H82" i="6" s="1"/>
  <c r="I82" i="6" s="1"/>
  <c r="J82" i="6" s="1"/>
  <c r="K82" i="6" s="1"/>
  <c r="K13" i="22"/>
  <c r="G13" i="22"/>
  <c r="C99" i="6"/>
  <c r="F12" i="22"/>
  <c r="B149" i="6"/>
  <c r="J12" i="22" s="1"/>
  <c r="H13" i="22"/>
  <c r="C116" i="6"/>
  <c r="D116" i="6" s="1"/>
  <c r="E116" i="6" s="1"/>
  <c r="F116" i="6" s="1"/>
  <c r="G116" i="6" s="1"/>
  <c r="H116" i="6" s="1"/>
  <c r="I116" i="6" s="1"/>
  <c r="J116" i="6" s="1"/>
  <c r="K116" i="6" s="1"/>
  <c r="H31" i="22" s="1"/>
  <c r="B166" i="6"/>
  <c r="K12" i="22" s="1"/>
  <c r="G12" i="22"/>
  <c r="C81" i="6"/>
  <c r="C149" i="6" s="1"/>
  <c r="C13" i="6"/>
  <c r="C132" i="6"/>
  <c r="C200" i="6" s="1"/>
  <c r="C64" i="6"/>
  <c r="C115" i="6"/>
  <c r="C47" i="6"/>
  <c r="C98" i="6"/>
  <c r="C166" i="6" s="1"/>
  <c r="C30" i="6"/>
  <c r="C7" i="6"/>
  <c r="L28" i="1"/>
  <c r="B11" i="5"/>
  <c r="B24" i="5"/>
  <c r="C65" i="6"/>
  <c r="D65" i="6" s="1"/>
  <c r="E65" i="6" s="1"/>
  <c r="F65" i="6" s="1"/>
  <c r="G65" i="6" s="1"/>
  <c r="H65" i="6" s="1"/>
  <c r="I65" i="6" s="1"/>
  <c r="J65" i="6" s="1"/>
  <c r="K65" i="6" s="1"/>
  <c r="E31" i="22" s="1"/>
  <c r="E13" i="22"/>
  <c r="H2" i="22"/>
  <c r="C105" i="6"/>
  <c r="C46" i="6"/>
  <c r="D46" i="6" s="1"/>
  <c r="E46" i="6" s="1"/>
  <c r="F46" i="6" s="1"/>
  <c r="G46" i="6" s="1"/>
  <c r="H46" i="6" s="1"/>
  <c r="I46" i="6" s="1"/>
  <c r="J46" i="6" s="1"/>
  <c r="K46" i="6" s="1"/>
  <c r="D29" i="22" s="1"/>
  <c r="D11" i="22"/>
  <c r="C39" i="6"/>
  <c r="D39" i="6" s="1"/>
  <c r="E39" i="6" s="1"/>
  <c r="F39" i="6" s="1"/>
  <c r="G39" i="6" s="1"/>
  <c r="H39" i="6" s="1"/>
  <c r="I39" i="6" s="1"/>
  <c r="J39" i="6" s="1"/>
  <c r="K39" i="6" s="1"/>
  <c r="D22" i="22" s="1"/>
  <c r="D4" i="22"/>
  <c r="C78" i="6"/>
  <c r="D78" i="6" s="1"/>
  <c r="F9" i="22"/>
  <c r="B146" i="6"/>
  <c r="J9" i="22" s="1"/>
  <c r="C41" i="6"/>
  <c r="D6" i="22"/>
  <c r="C77" i="6"/>
  <c r="C145" i="6" s="1"/>
  <c r="B145" i="6"/>
  <c r="J8" i="22" s="1"/>
  <c r="F8" i="22"/>
  <c r="C11" i="6"/>
  <c r="D11" i="6" s="1"/>
  <c r="E11" i="6" s="1"/>
  <c r="F11" i="6" s="1"/>
  <c r="G11" i="6" s="1"/>
  <c r="H11" i="6" s="1"/>
  <c r="I11" i="6" s="1"/>
  <c r="J11" i="6" s="1"/>
  <c r="K11" i="6" s="1"/>
  <c r="B28" i="22" s="1"/>
  <c r="B10" i="22"/>
  <c r="H4" i="22"/>
  <c r="C43" i="6"/>
  <c r="D43" i="6" s="1"/>
  <c r="E43" i="6" s="1"/>
  <c r="F43" i="6" s="1"/>
  <c r="G43" i="6" s="1"/>
  <c r="H43" i="6" s="1"/>
  <c r="I43" i="6" s="1"/>
  <c r="J43" i="6" s="1"/>
  <c r="K43" i="6" s="1"/>
  <c r="D26" i="22" s="1"/>
  <c r="D8" i="22"/>
  <c r="C112" i="6"/>
  <c r="D112" i="6" s="1"/>
  <c r="H9" i="22"/>
  <c r="D95" i="6"/>
  <c r="C163" i="6"/>
  <c r="C89" i="6"/>
  <c r="G3" i="22"/>
  <c r="B157" i="6"/>
  <c r="C6" i="6"/>
  <c r="D6" i="6" s="1"/>
  <c r="E6" i="6" s="1"/>
  <c r="F6" i="6" s="1"/>
  <c r="G6" i="6" s="1"/>
  <c r="H6" i="6" s="1"/>
  <c r="I6" i="6" s="1"/>
  <c r="J6" i="6" s="1"/>
  <c r="K6" i="6" s="1"/>
  <c r="B23" i="22" s="1"/>
  <c r="B5" i="22"/>
  <c r="C5" i="6"/>
  <c r="D5" i="6" s="1"/>
  <c r="E5" i="6" s="1"/>
  <c r="F5" i="6" s="1"/>
  <c r="G5" i="6" s="1"/>
  <c r="H5" i="6" s="1"/>
  <c r="I5" i="6" s="1"/>
  <c r="J5" i="6" s="1"/>
  <c r="K5" i="6" s="1"/>
  <c r="B22" i="22" s="1"/>
  <c r="B4" i="22"/>
  <c r="C4" i="6"/>
  <c r="D4" i="6" s="1"/>
  <c r="E4" i="6" s="1"/>
  <c r="F4" i="6" s="1"/>
  <c r="G4" i="6" s="1"/>
  <c r="H4" i="6" s="1"/>
  <c r="I4" i="6" s="1"/>
  <c r="J4" i="6" s="1"/>
  <c r="K4" i="6" s="1"/>
  <c r="B21" i="22" s="1"/>
  <c r="B3" i="22"/>
  <c r="C73" i="6"/>
  <c r="C141" i="6" s="1"/>
  <c r="F4" i="22"/>
  <c r="B141" i="6"/>
  <c r="J4" i="22" s="1"/>
  <c r="C79" i="6"/>
  <c r="D79" i="6" s="1"/>
  <c r="F10" i="22"/>
  <c r="B147" i="6"/>
  <c r="J10" i="22" s="1"/>
  <c r="C80" i="6"/>
  <c r="D80" i="6" s="1"/>
  <c r="F11" i="22"/>
  <c r="B148" i="6"/>
  <c r="J11" i="22" s="1"/>
  <c r="D123" i="6"/>
  <c r="E123" i="6" s="1"/>
  <c r="F123" i="6" s="1"/>
  <c r="G123" i="6" s="1"/>
  <c r="H123" i="6" s="1"/>
  <c r="I123" i="6" s="1"/>
  <c r="J123" i="6" s="1"/>
  <c r="K123" i="6" s="1"/>
  <c r="I3" i="22"/>
  <c r="C71" i="6"/>
  <c r="B139" i="6"/>
  <c r="F2" i="22"/>
  <c r="C42" i="6"/>
  <c r="D42" i="6" s="1"/>
  <c r="E42" i="6" s="1"/>
  <c r="F42" i="6" s="1"/>
  <c r="G42" i="6" s="1"/>
  <c r="H42" i="6" s="1"/>
  <c r="I42" i="6" s="1"/>
  <c r="J42" i="6" s="1"/>
  <c r="K42" i="6" s="1"/>
  <c r="D25" i="22" s="1"/>
  <c r="D7" i="22"/>
  <c r="C9" i="6"/>
  <c r="D9" i="6" s="1"/>
  <c r="E9" i="6" s="1"/>
  <c r="F9" i="6" s="1"/>
  <c r="G9" i="6" s="1"/>
  <c r="H9" i="6" s="1"/>
  <c r="I9" i="6" s="1"/>
  <c r="J9" i="6" s="1"/>
  <c r="K9" i="6" s="1"/>
  <c r="B26" i="22" s="1"/>
  <c r="B8" i="22"/>
  <c r="C45" i="6"/>
  <c r="D45" i="6" s="1"/>
  <c r="E45" i="6" s="1"/>
  <c r="F45" i="6" s="1"/>
  <c r="G45" i="6" s="1"/>
  <c r="H45" i="6" s="1"/>
  <c r="I45" i="6" s="1"/>
  <c r="J45" i="6" s="1"/>
  <c r="K45" i="6" s="1"/>
  <c r="D28" i="22" s="1"/>
  <c r="D10" i="22"/>
  <c r="C29" i="6"/>
  <c r="D29" i="6" s="1"/>
  <c r="E29" i="6" s="1"/>
  <c r="F29" i="6" s="1"/>
  <c r="G29" i="6" s="1"/>
  <c r="H29" i="6" s="1"/>
  <c r="I29" i="6" s="1"/>
  <c r="J29" i="6" s="1"/>
  <c r="K29" i="6" s="1"/>
  <c r="C29" i="22" s="1"/>
  <c r="C75" i="6"/>
  <c r="F6" i="22"/>
  <c r="C40" i="6"/>
  <c r="D40" i="6" s="1"/>
  <c r="E40" i="6" s="1"/>
  <c r="F40" i="6" s="1"/>
  <c r="G40" i="6" s="1"/>
  <c r="H40" i="6" s="1"/>
  <c r="I40" i="6" s="1"/>
  <c r="J40" i="6" s="1"/>
  <c r="K40" i="6" s="1"/>
  <c r="D23" i="22" s="1"/>
  <c r="D5" i="22"/>
  <c r="B142" i="6"/>
  <c r="J5" i="22" s="1"/>
  <c r="F5" i="22"/>
  <c r="C74" i="6"/>
  <c r="C76" i="6"/>
  <c r="D76" i="6" s="1"/>
  <c r="B144" i="6"/>
  <c r="J7" i="22" s="1"/>
  <c r="F7" i="22"/>
  <c r="C38" i="6"/>
  <c r="D38" i="6" s="1"/>
  <c r="E38" i="6" s="1"/>
  <c r="F38" i="6" s="1"/>
  <c r="G38" i="6" s="1"/>
  <c r="H38" i="6" s="1"/>
  <c r="I38" i="6" s="1"/>
  <c r="J38" i="6" s="1"/>
  <c r="K38" i="6" s="1"/>
  <c r="D21" i="22" s="1"/>
  <c r="D3" i="22"/>
  <c r="C113" i="6"/>
  <c r="D113" i="6" s="1"/>
  <c r="H10" i="22"/>
  <c r="C61" i="6"/>
  <c r="D61" i="6" s="1"/>
  <c r="E9" i="22"/>
  <c r="C55" i="6"/>
  <c r="D55" i="6" s="1"/>
  <c r="E55" i="6" s="1"/>
  <c r="F55" i="6" s="1"/>
  <c r="G55" i="6" s="1"/>
  <c r="H55" i="6" s="1"/>
  <c r="I55" i="6" s="1"/>
  <c r="J55" i="6" s="1"/>
  <c r="K55" i="6" s="1"/>
  <c r="E21" i="22" s="1"/>
  <c r="E3" i="22"/>
  <c r="C12" i="6"/>
  <c r="D12" i="6" s="1"/>
  <c r="E12" i="6" s="1"/>
  <c r="F12" i="6" s="1"/>
  <c r="G12" i="6" s="1"/>
  <c r="H12" i="6" s="1"/>
  <c r="I12" i="6" s="1"/>
  <c r="J12" i="6" s="1"/>
  <c r="K12" i="6" s="1"/>
  <c r="B29" i="22" s="1"/>
  <c r="B11" i="22"/>
  <c r="D2" i="22"/>
  <c r="C3" i="6"/>
  <c r="C14" i="6"/>
  <c r="D14" i="6" s="1"/>
  <c r="E14" i="6" s="1"/>
  <c r="F14" i="6" s="1"/>
  <c r="G14" i="6" s="1"/>
  <c r="H14" i="6" s="1"/>
  <c r="I14" i="6" s="1"/>
  <c r="J14" i="6" s="1"/>
  <c r="K14" i="6" s="1"/>
  <c r="C111" i="6"/>
  <c r="C114" i="6"/>
  <c r="C107" i="6"/>
  <c r="C110" i="6"/>
  <c r="C106" i="6"/>
  <c r="C108" i="6"/>
  <c r="L30" i="1"/>
  <c r="L36" i="1"/>
  <c r="L22" i="1"/>
  <c r="L27" i="1"/>
  <c r="L33" i="1"/>
  <c r="L24" i="1"/>
  <c r="C21" i="6"/>
  <c r="D21" i="6" s="1"/>
  <c r="E21" i="6" s="1"/>
  <c r="F21" i="6" s="1"/>
  <c r="G21" i="6" s="1"/>
  <c r="H21" i="6" s="1"/>
  <c r="I21" i="6" s="1"/>
  <c r="J21" i="6" s="1"/>
  <c r="K21" i="6" s="1"/>
  <c r="C21" i="22" s="1"/>
  <c r="L25" i="1"/>
  <c r="L29" i="1"/>
  <c r="L32" i="1"/>
  <c r="L35" i="1"/>
  <c r="L31" i="1"/>
  <c r="L34" i="1"/>
  <c r="L23" i="1"/>
  <c r="L26" i="1"/>
  <c r="M37" i="1"/>
  <c r="E3" i="49" s="1"/>
  <c r="N53" i="1"/>
  <c r="N45" i="1"/>
  <c r="O12" i="1"/>
  <c r="O20" i="1" s="1"/>
  <c r="N44" i="1"/>
  <c r="C62" i="6" l="1"/>
  <c r="D62" i="6" s="1"/>
  <c r="E62" i="6" s="1"/>
  <c r="F62" i="6" s="1"/>
  <c r="G62" i="6" s="1"/>
  <c r="H62" i="6" s="1"/>
  <c r="I62" i="6" s="1"/>
  <c r="J62" i="6" s="1"/>
  <c r="K62" i="6" s="1"/>
  <c r="E28" i="22" s="1"/>
  <c r="B45" i="27"/>
  <c r="L14" i="22"/>
  <c r="L185" i="6"/>
  <c r="Q11" i="22"/>
  <c r="C267" i="6"/>
  <c r="D267" i="6" s="1"/>
  <c r="E267" i="6" s="1"/>
  <c r="F267" i="6" s="1"/>
  <c r="G267" i="6" s="1"/>
  <c r="H267" i="6" s="1"/>
  <c r="I267" i="6" s="1"/>
  <c r="J267" i="6" s="1"/>
  <c r="K267" i="6" s="1"/>
  <c r="Q29" i="22" s="1"/>
  <c r="C228" i="6"/>
  <c r="O6" i="22"/>
  <c r="C229" i="6"/>
  <c r="D229" i="6" s="1"/>
  <c r="E229" i="6" s="1"/>
  <c r="F229" i="6" s="1"/>
  <c r="G229" i="6" s="1"/>
  <c r="H229" i="6" s="1"/>
  <c r="I229" i="6" s="1"/>
  <c r="J229" i="6" s="1"/>
  <c r="K229" i="6" s="1"/>
  <c r="O25" i="22" s="1"/>
  <c r="O7" i="22"/>
  <c r="C226" i="6"/>
  <c r="D226" i="6" s="1"/>
  <c r="E226" i="6" s="1"/>
  <c r="F226" i="6" s="1"/>
  <c r="G226" i="6" s="1"/>
  <c r="H226" i="6" s="1"/>
  <c r="I226" i="6" s="1"/>
  <c r="J226" i="6" s="1"/>
  <c r="K226" i="6" s="1"/>
  <c r="O22" i="22" s="1"/>
  <c r="O4" i="22"/>
  <c r="B134" i="6"/>
  <c r="L134" i="6" s="1"/>
  <c r="C258" i="6"/>
  <c r="Q2" i="22"/>
  <c r="B270" i="6"/>
  <c r="B113" i="27" s="1"/>
  <c r="B114" i="27" s="1"/>
  <c r="C260" i="6"/>
  <c r="D260" i="6" s="1"/>
  <c r="E260" i="6" s="1"/>
  <c r="F260" i="6" s="1"/>
  <c r="G260" i="6" s="1"/>
  <c r="H260" i="6" s="1"/>
  <c r="I260" i="6" s="1"/>
  <c r="J260" i="6" s="1"/>
  <c r="K260" i="6" s="1"/>
  <c r="Q22" i="22" s="1"/>
  <c r="Q4" i="22"/>
  <c r="C88" i="6"/>
  <c r="B156" i="6"/>
  <c r="C263" i="6"/>
  <c r="D263" i="6" s="1"/>
  <c r="E263" i="6" s="1"/>
  <c r="F263" i="6" s="1"/>
  <c r="G263" i="6" s="1"/>
  <c r="H263" i="6" s="1"/>
  <c r="I263" i="6" s="1"/>
  <c r="J263" i="6" s="1"/>
  <c r="K263" i="6" s="1"/>
  <c r="Q25" i="22" s="1"/>
  <c r="Q7" i="22"/>
  <c r="C230" i="6"/>
  <c r="D230" i="6" s="1"/>
  <c r="E230" i="6" s="1"/>
  <c r="F230" i="6" s="1"/>
  <c r="G230" i="6" s="1"/>
  <c r="H230" i="6" s="1"/>
  <c r="I230" i="6" s="1"/>
  <c r="J230" i="6" s="1"/>
  <c r="K230" i="6" s="1"/>
  <c r="O26" i="22" s="1"/>
  <c r="O8" i="22"/>
  <c r="M2" i="22"/>
  <c r="C190" i="6"/>
  <c r="B202" i="6"/>
  <c r="C195" i="6"/>
  <c r="D195" i="6" s="1"/>
  <c r="E195" i="6" s="1"/>
  <c r="F195" i="6" s="1"/>
  <c r="G195" i="6" s="1"/>
  <c r="H195" i="6" s="1"/>
  <c r="I195" i="6" s="1"/>
  <c r="J195" i="6" s="1"/>
  <c r="K195" i="6" s="1"/>
  <c r="M25" i="22" s="1"/>
  <c r="M7" i="22"/>
  <c r="N14" i="22"/>
  <c r="L219" i="6"/>
  <c r="B52" i="27"/>
  <c r="C194" i="6"/>
  <c r="M6" i="22"/>
  <c r="B99" i="27"/>
  <c r="B100" i="27" s="1"/>
  <c r="C266" i="6"/>
  <c r="D266" i="6" s="1"/>
  <c r="E266" i="6" s="1"/>
  <c r="F266" i="6" s="1"/>
  <c r="G266" i="6" s="1"/>
  <c r="H266" i="6" s="1"/>
  <c r="I266" i="6" s="1"/>
  <c r="J266" i="6" s="1"/>
  <c r="K266" i="6" s="1"/>
  <c r="Q28" i="22" s="1"/>
  <c r="Q10" i="22"/>
  <c r="C192" i="6"/>
  <c r="D192" i="6" s="1"/>
  <c r="E192" i="6" s="1"/>
  <c r="F192" i="6" s="1"/>
  <c r="G192" i="6" s="1"/>
  <c r="H192" i="6" s="1"/>
  <c r="I192" i="6" s="1"/>
  <c r="J192" i="6" s="1"/>
  <c r="K192" i="6" s="1"/>
  <c r="M22" i="22" s="1"/>
  <c r="M4" i="22"/>
  <c r="O2" i="22"/>
  <c r="C224" i="6"/>
  <c r="B236" i="6"/>
  <c r="C193" i="6"/>
  <c r="D193" i="6" s="1"/>
  <c r="E193" i="6" s="1"/>
  <c r="F193" i="6" s="1"/>
  <c r="G193" i="6" s="1"/>
  <c r="H193" i="6" s="1"/>
  <c r="I193" i="6" s="1"/>
  <c r="J193" i="6" s="1"/>
  <c r="K193" i="6" s="1"/>
  <c r="M23" i="22" s="1"/>
  <c r="M5" i="22"/>
  <c r="C227" i="6"/>
  <c r="D227" i="6" s="1"/>
  <c r="E227" i="6" s="1"/>
  <c r="F227" i="6" s="1"/>
  <c r="G227" i="6" s="1"/>
  <c r="H227" i="6" s="1"/>
  <c r="I227" i="6" s="1"/>
  <c r="J227" i="6" s="1"/>
  <c r="K227" i="6" s="1"/>
  <c r="O23" i="22" s="1"/>
  <c r="O5" i="22"/>
  <c r="C160" i="6"/>
  <c r="D207" i="6"/>
  <c r="B57" i="27"/>
  <c r="B58" i="27" s="1"/>
  <c r="C211" i="6"/>
  <c r="D211" i="6" s="1"/>
  <c r="E211" i="6" s="1"/>
  <c r="F211" i="6" s="1"/>
  <c r="G211" i="6" s="1"/>
  <c r="H211" i="6" s="1"/>
  <c r="I211" i="6" s="1"/>
  <c r="J211" i="6" s="1"/>
  <c r="K211" i="6" s="1"/>
  <c r="N24" i="22" s="1"/>
  <c r="N6" i="22"/>
  <c r="B50" i="27"/>
  <c r="B51" i="27" s="1"/>
  <c r="M8" i="22"/>
  <c r="C196" i="6"/>
  <c r="D196" i="6" s="1"/>
  <c r="E196" i="6" s="1"/>
  <c r="F196" i="6" s="1"/>
  <c r="G196" i="6" s="1"/>
  <c r="H196" i="6" s="1"/>
  <c r="I196" i="6" s="1"/>
  <c r="J196" i="6" s="1"/>
  <c r="K196" i="6" s="1"/>
  <c r="M26" i="22" s="1"/>
  <c r="D173" i="6"/>
  <c r="D262" i="6"/>
  <c r="D251" i="6"/>
  <c r="D234" i="6"/>
  <c r="D268" i="6"/>
  <c r="D183" i="6"/>
  <c r="D217" i="6"/>
  <c r="C201" i="6"/>
  <c r="D201" i="6" s="1"/>
  <c r="E201" i="6" s="1"/>
  <c r="F201" i="6" s="1"/>
  <c r="G201" i="6" s="1"/>
  <c r="H201" i="6" s="1"/>
  <c r="I201" i="6" s="1"/>
  <c r="J201" i="6" s="1"/>
  <c r="K201" i="6" s="1"/>
  <c r="M31" i="22" s="1"/>
  <c r="M13" i="22"/>
  <c r="L6" i="22"/>
  <c r="C177" i="6"/>
  <c r="B43" i="27"/>
  <c r="M11" i="22"/>
  <c r="C199" i="6"/>
  <c r="D199" i="6" s="1"/>
  <c r="E199" i="6" s="1"/>
  <c r="F199" i="6" s="1"/>
  <c r="G199" i="6" s="1"/>
  <c r="H199" i="6" s="1"/>
  <c r="I199" i="6" s="1"/>
  <c r="J199" i="6" s="1"/>
  <c r="K199" i="6" s="1"/>
  <c r="M29" i="22" s="1"/>
  <c r="C198" i="6"/>
  <c r="D198" i="6" s="1"/>
  <c r="E198" i="6" s="1"/>
  <c r="F198" i="6" s="1"/>
  <c r="G198" i="6" s="1"/>
  <c r="H198" i="6" s="1"/>
  <c r="I198" i="6" s="1"/>
  <c r="J198" i="6" s="1"/>
  <c r="K198" i="6" s="1"/>
  <c r="M28" i="22" s="1"/>
  <c r="M10" i="22"/>
  <c r="B26" i="5"/>
  <c r="E133" i="6"/>
  <c r="E235" i="6"/>
  <c r="D48" i="6"/>
  <c r="E184" i="6" s="1"/>
  <c r="K3" i="22"/>
  <c r="B17" i="27"/>
  <c r="B18" i="27" s="1"/>
  <c r="I23" i="43"/>
  <c r="C75" i="46"/>
  <c r="Q23" i="43"/>
  <c r="D252" i="6"/>
  <c r="E31" i="6"/>
  <c r="E218" i="6"/>
  <c r="F247" i="6"/>
  <c r="D241" i="6"/>
  <c r="C253" i="6"/>
  <c r="C59" i="27" s="1"/>
  <c r="C60" i="27" s="1"/>
  <c r="L253" i="6"/>
  <c r="B59" i="27"/>
  <c r="B60" i="27" s="1"/>
  <c r="E48" i="6"/>
  <c r="F184" i="6" s="1"/>
  <c r="E245" i="6"/>
  <c r="C78" i="49"/>
  <c r="D78" i="49"/>
  <c r="C16" i="49"/>
  <c r="C88" i="49" s="1"/>
  <c r="E77" i="49"/>
  <c r="C85" i="49"/>
  <c r="E14" i="49"/>
  <c r="D12" i="49"/>
  <c r="D21" i="43"/>
  <c r="D16" i="43" s="1"/>
  <c r="C16" i="43"/>
  <c r="E4" i="22"/>
  <c r="B179" i="38"/>
  <c r="B196" i="38" s="1"/>
  <c r="C196" i="38" s="1"/>
  <c r="D196" i="38" s="1"/>
  <c r="E196" i="38" s="1"/>
  <c r="F196" i="38" s="1"/>
  <c r="G196" i="38" s="1"/>
  <c r="H196" i="38" s="1"/>
  <c r="I196" i="38" s="1"/>
  <c r="J196" i="38" s="1"/>
  <c r="K196" i="38" s="1"/>
  <c r="B8" i="46"/>
  <c r="E7" i="22"/>
  <c r="G10" i="22"/>
  <c r="G7" i="22"/>
  <c r="B161" i="6"/>
  <c r="K7" i="22" s="1"/>
  <c r="C96" i="6"/>
  <c r="C4" i="22"/>
  <c r="C25" i="6"/>
  <c r="D25" i="6" s="1"/>
  <c r="E25" i="6" s="1"/>
  <c r="F25" i="6" s="1"/>
  <c r="G25" i="6" s="1"/>
  <c r="H25" i="6" s="1"/>
  <c r="I25" i="6" s="1"/>
  <c r="J25" i="6" s="1"/>
  <c r="K25" i="6" s="1"/>
  <c r="C25" i="22" s="1"/>
  <c r="C10" i="22"/>
  <c r="E8" i="22"/>
  <c r="B31" i="27"/>
  <c r="B32" i="27" s="1"/>
  <c r="I10" i="22"/>
  <c r="B165" i="6"/>
  <c r="K11" i="22" s="1"/>
  <c r="G11" i="22"/>
  <c r="G5" i="22"/>
  <c r="I7" i="22"/>
  <c r="C8" i="22"/>
  <c r="D73" i="6"/>
  <c r="E73" i="6" s="1"/>
  <c r="E5" i="22"/>
  <c r="C5" i="22"/>
  <c r="C91" i="6"/>
  <c r="D124" i="6"/>
  <c r="E124" i="6" s="1"/>
  <c r="F124" i="6" s="1"/>
  <c r="G124" i="6" s="1"/>
  <c r="H124" i="6" s="1"/>
  <c r="I124" i="6" s="1"/>
  <c r="J124" i="6" s="1"/>
  <c r="K124" i="6" s="1"/>
  <c r="I22" i="22" s="1"/>
  <c r="D125" i="6"/>
  <c r="E125" i="6" s="1"/>
  <c r="F125" i="6" s="1"/>
  <c r="G125" i="6" s="1"/>
  <c r="H125" i="6" s="1"/>
  <c r="I125" i="6" s="1"/>
  <c r="J125" i="6" s="1"/>
  <c r="K125" i="6" s="1"/>
  <c r="I23" i="22" s="1"/>
  <c r="I8" i="22"/>
  <c r="E11" i="22"/>
  <c r="B32" i="6"/>
  <c r="L32" i="6" s="1"/>
  <c r="C20" i="6"/>
  <c r="D20" i="6" s="1"/>
  <c r="E20" i="6" s="1"/>
  <c r="G8" i="22"/>
  <c r="C94" i="6"/>
  <c r="E72" i="6"/>
  <c r="F72" i="6" s="1"/>
  <c r="G4" i="22"/>
  <c r="B10" i="27"/>
  <c r="B11" i="27" s="1"/>
  <c r="C146" i="6"/>
  <c r="B158" i="6"/>
  <c r="K4" i="22" s="1"/>
  <c r="I11" i="22"/>
  <c r="E6" i="22"/>
  <c r="C140" i="6"/>
  <c r="B100" i="6"/>
  <c r="L100" i="6" s="1"/>
  <c r="B151" i="6"/>
  <c r="L151" i="6" s="1"/>
  <c r="B66" i="6"/>
  <c r="L66" i="6" s="1"/>
  <c r="L15" i="6"/>
  <c r="L117" i="6"/>
  <c r="C21" i="38"/>
  <c r="C33" i="38" s="1"/>
  <c r="C19" i="38"/>
  <c r="D16" i="37"/>
  <c r="D16" i="38"/>
  <c r="D16" i="35"/>
  <c r="D16" i="36"/>
  <c r="D4" i="37"/>
  <c r="D4" i="38"/>
  <c r="D4" i="35"/>
  <c r="D4" i="36"/>
  <c r="I2" i="22"/>
  <c r="C56" i="36"/>
  <c r="C73" i="36" s="1"/>
  <c r="C90" i="36" s="1"/>
  <c r="C107" i="36" s="1"/>
  <c r="C124" i="36" s="1"/>
  <c r="C141" i="36" s="1"/>
  <c r="C158" i="36" s="1"/>
  <c r="C176" i="36" s="1"/>
  <c r="C92" i="38"/>
  <c r="C109" i="38" s="1"/>
  <c r="C126" i="38" s="1"/>
  <c r="C143" i="38" s="1"/>
  <c r="C160" i="38" s="1"/>
  <c r="C178" i="38" s="1"/>
  <c r="C21" i="36"/>
  <c r="C33" i="36" s="1"/>
  <c r="C19" i="36"/>
  <c r="D122" i="6"/>
  <c r="E122" i="6" s="1"/>
  <c r="D105" i="6"/>
  <c r="C99" i="38"/>
  <c r="C116" i="38" s="1"/>
  <c r="C133" i="38" s="1"/>
  <c r="C150" i="38" s="1"/>
  <c r="C167" i="38" s="1"/>
  <c r="C185" i="38" s="1"/>
  <c r="C202" i="38" s="1"/>
  <c r="D11" i="37"/>
  <c r="D28" i="37" s="1"/>
  <c r="D45" i="37" s="1"/>
  <c r="D62" i="37" s="1"/>
  <c r="D79" i="37" s="1"/>
  <c r="D96" i="37" s="1"/>
  <c r="D113" i="37" s="1"/>
  <c r="D130" i="37" s="1"/>
  <c r="D147" i="37" s="1"/>
  <c r="D164" i="37" s="1"/>
  <c r="D182" i="37" s="1"/>
  <c r="D11" i="38"/>
  <c r="D28" i="38" s="1"/>
  <c r="D45" i="38" s="1"/>
  <c r="D62" i="38" s="1"/>
  <c r="D79" i="38" s="1"/>
  <c r="D11" i="36"/>
  <c r="D28" i="36" s="1"/>
  <c r="D45" i="36" s="1"/>
  <c r="D62" i="36" s="1"/>
  <c r="D79" i="36" s="1"/>
  <c r="D96" i="36" s="1"/>
  <c r="D113" i="36" s="1"/>
  <c r="D130" i="36" s="1"/>
  <c r="D147" i="36" s="1"/>
  <c r="D164" i="36" s="1"/>
  <c r="D182" i="36" s="1"/>
  <c r="D11" i="35"/>
  <c r="D28" i="35" s="1"/>
  <c r="D45" i="35" s="1"/>
  <c r="D62" i="35" s="1"/>
  <c r="D79" i="35" s="1"/>
  <c r="D96" i="35" s="1"/>
  <c r="D113" i="35" s="1"/>
  <c r="D130" i="35" s="1"/>
  <c r="D147" i="35" s="1"/>
  <c r="D164" i="35" s="1"/>
  <c r="D182" i="35" s="1"/>
  <c r="L47" i="1"/>
  <c r="D15" i="37"/>
  <c r="D32" i="37" s="1"/>
  <c r="D49" i="37" s="1"/>
  <c r="D66" i="37" s="1"/>
  <c r="D83" i="37" s="1"/>
  <c r="D100" i="37" s="1"/>
  <c r="D117" i="37" s="1"/>
  <c r="D134" i="37" s="1"/>
  <c r="D151" i="37" s="1"/>
  <c r="D168" i="37" s="1"/>
  <c r="D186" i="37" s="1"/>
  <c r="D15" i="36"/>
  <c r="D32" i="36" s="1"/>
  <c r="D49" i="36" s="1"/>
  <c r="D66" i="36" s="1"/>
  <c r="D83" i="36" s="1"/>
  <c r="D100" i="36" s="1"/>
  <c r="D117" i="36" s="1"/>
  <c r="D134" i="36" s="1"/>
  <c r="D151" i="36" s="1"/>
  <c r="D168" i="36" s="1"/>
  <c r="D186" i="36" s="1"/>
  <c r="D15" i="38"/>
  <c r="D32" i="38" s="1"/>
  <c r="D49" i="38" s="1"/>
  <c r="D66" i="38" s="1"/>
  <c r="D83" i="38" s="1"/>
  <c r="D15" i="35"/>
  <c r="D32" i="35" s="1"/>
  <c r="D49" i="35" s="1"/>
  <c r="D66" i="35" s="1"/>
  <c r="D83" i="35" s="1"/>
  <c r="D100" i="35" s="1"/>
  <c r="D117" i="35" s="1"/>
  <c r="D134" i="35" s="1"/>
  <c r="D151" i="35" s="1"/>
  <c r="D168" i="35" s="1"/>
  <c r="D186" i="35" s="1"/>
  <c r="C61" i="36"/>
  <c r="C78" i="36" s="1"/>
  <c r="C95" i="36" s="1"/>
  <c r="C112" i="36" s="1"/>
  <c r="C129" i="36" s="1"/>
  <c r="C146" i="36" s="1"/>
  <c r="C163" i="36" s="1"/>
  <c r="C181" i="36" s="1"/>
  <c r="C90" i="38"/>
  <c r="C107" i="38" s="1"/>
  <c r="C124" i="38" s="1"/>
  <c r="C141" i="38" s="1"/>
  <c r="C158" i="38" s="1"/>
  <c r="C176" i="38" s="1"/>
  <c r="C58" i="36"/>
  <c r="C75" i="36" s="1"/>
  <c r="C92" i="36" s="1"/>
  <c r="C109" i="36" s="1"/>
  <c r="C126" i="36" s="1"/>
  <c r="C143" i="36" s="1"/>
  <c r="C160" i="36" s="1"/>
  <c r="C178" i="36" s="1"/>
  <c r="C59" i="36"/>
  <c r="C76" i="36" s="1"/>
  <c r="C93" i="36" s="1"/>
  <c r="C110" i="36" s="1"/>
  <c r="C127" i="36" s="1"/>
  <c r="C144" i="36" s="1"/>
  <c r="C161" i="36" s="1"/>
  <c r="C179" i="36" s="1"/>
  <c r="C21" i="37"/>
  <c r="C19" i="37"/>
  <c r="B38" i="38"/>
  <c r="B38" i="37"/>
  <c r="B36" i="37"/>
  <c r="L36" i="37" s="1"/>
  <c r="C93" i="38"/>
  <c r="C110" i="38" s="1"/>
  <c r="C127" i="38" s="1"/>
  <c r="C144" i="38" s="1"/>
  <c r="C161" i="38" s="1"/>
  <c r="C179" i="38" s="1"/>
  <c r="B38" i="36"/>
  <c r="B36" i="36"/>
  <c r="L36" i="36" s="1"/>
  <c r="D14" i="38"/>
  <c r="D31" i="38" s="1"/>
  <c r="D48" i="38" s="1"/>
  <c r="D65" i="38" s="1"/>
  <c r="D82" i="38" s="1"/>
  <c r="D14" i="36"/>
  <c r="D31" i="36" s="1"/>
  <c r="D48" i="36" s="1"/>
  <c r="D65" i="36" s="1"/>
  <c r="D82" i="36" s="1"/>
  <c r="D99" i="36" s="1"/>
  <c r="D116" i="36" s="1"/>
  <c r="D133" i="36" s="1"/>
  <c r="D150" i="36" s="1"/>
  <c r="D167" i="36" s="1"/>
  <c r="D185" i="36" s="1"/>
  <c r="D202" i="36" s="1"/>
  <c r="D14" i="35"/>
  <c r="D31" i="35" s="1"/>
  <c r="D48" i="35" s="1"/>
  <c r="D65" i="35" s="1"/>
  <c r="D82" i="35" s="1"/>
  <c r="D99" i="35" s="1"/>
  <c r="D116" i="35" s="1"/>
  <c r="D133" i="35" s="1"/>
  <c r="D150" i="35" s="1"/>
  <c r="D167" i="35" s="1"/>
  <c r="D185" i="35" s="1"/>
  <c r="D202" i="35" s="1"/>
  <c r="D14" i="37"/>
  <c r="D31" i="37" s="1"/>
  <c r="D48" i="37" s="1"/>
  <c r="D65" i="37" s="1"/>
  <c r="D82" i="37" s="1"/>
  <c r="D99" i="37" s="1"/>
  <c r="D116" i="37" s="1"/>
  <c r="D133" i="37" s="1"/>
  <c r="D150" i="37" s="1"/>
  <c r="D167" i="37" s="1"/>
  <c r="D185" i="37" s="1"/>
  <c r="D202" i="37" s="1"/>
  <c r="D7" i="37"/>
  <c r="D24" i="37" s="1"/>
  <c r="D41" i="37" s="1"/>
  <c r="D58" i="37" s="1"/>
  <c r="D75" i="37" s="1"/>
  <c r="D92" i="37" s="1"/>
  <c r="D109" i="37" s="1"/>
  <c r="D126" i="37" s="1"/>
  <c r="D143" i="37" s="1"/>
  <c r="D160" i="37" s="1"/>
  <c r="D178" i="37" s="1"/>
  <c r="D7" i="36"/>
  <c r="D24" i="36" s="1"/>
  <c r="D41" i="36" s="1"/>
  <c r="D7" i="35"/>
  <c r="D24" i="35" s="1"/>
  <c r="D41" i="35" s="1"/>
  <c r="D58" i="35" s="1"/>
  <c r="D75" i="35" s="1"/>
  <c r="D92" i="35" s="1"/>
  <c r="D109" i="35" s="1"/>
  <c r="D126" i="35" s="1"/>
  <c r="D143" i="35" s="1"/>
  <c r="D160" i="35" s="1"/>
  <c r="D178" i="35" s="1"/>
  <c r="D7" i="38"/>
  <c r="D24" i="38" s="1"/>
  <c r="D41" i="38" s="1"/>
  <c r="D58" i="38" s="1"/>
  <c r="D75" i="38" s="1"/>
  <c r="D12" i="37"/>
  <c r="D29" i="37" s="1"/>
  <c r="D46" i="37" s="1"/>
  <c r="D63" i="37" s="1"/>
  <c r="D80" i="37" s="1"/>
  <c r="D97" i="37" s="1"/>
  <c r="D114" i="37" s="1"/>
  <c r="D131" i="37" s="1"/>
  <c r="D148" i="37" s="1"/>
  <c r="D165" i="37" s="1"/>
  <c r="D183" i="37" s="1"/>
  <c r="D12" i="38"/>
  <c r="D29" i="38" s="1"/>
  <c r="D46" i="38" s="1"/>
  <c r="D63" i="38" s="1"/>
  <c r="D80" i="38" s="1"/>
  <c r="D12" i="35"/>
  <c r="D29" i="35" s="1"/>
  <c r="D46" i="35" s="1"/>
  <c r="D63" i="35" s="1"/>
  <c r="D80" i="35" s="1"/>
  <c r="D97" i="35" s="1"/>
  <c r="D114" i="35" s="1"/>
  <c r="D131" i="35" s="1"/>
  <c r="D148" i="35" s="1"/>
  <c r="D165" i="35" s="1"/>
  <c r="D183" i="35" s="1"/>
  <c r="D12" i="36"/>
  <c r="D29" i="36" s="1"/>
  <c r="D46" i="36" s="1"/>
  <c r="D3" i="6"/>
  <c r="E3" i="6" s="1"/>
  <c r="C15" i="6"/>
  <c r="C10" i="27" s="1"/>
  <c r="C11" i="27" s="1"/>
  <c r="D37" i="6"/>
  <c r="C49" i="6"/>
  <c r="C17" i="27" s="1"/>
  <c r="C18" i="27" s="1"/>
  <c r="D10" i="37"/>
  <c r="D27" i="37" s="1"/>
  <c r="D44" i="37" s="1"/>
  <c r="D61" i="37" s="1"/>
  <c r="D78" i="37" s="1"/>
  <c r="D95" i="37" s="1"/>
  <c r="D112" i="37" s="1"/>
  <c r="D129" i="37" s="1"/>
  <c r="D146" i="37" s="1"/>
  <c r="D163" i="37" s="1"/>
  <c r="D181" i="37" s="1"/>
  <c r="D10" i="36"/>
  <c r="D27" i="36" s="1"/>
  <c r="D44" i="36" s="1"/>
  <c r="D10" i="38"/>
  <c r="D27" i="38" s="1"/>
  <c r="D44" i="38" s="1"/>
  <c r="D61" i="38" s="1"/>
  <c r="D78" i="38" s="1"/>
  <c r="D95" i="38" s="1"/>
  <c r="D112" i="38" s="1"/>
  <c r="D129" i="38" s="1"/>
  <c r="D146" i="38" s="1"/>
  <c r="D163" i="38" s="1"/>
  <c r="D181" i="38" s="1"/>
  <c r="D10" i="35"/>
  <c r="D27" i="35" s="1"/>
  <c r="D44" i="35" s="1"/>
  <c r="D61" i="35" s="1"/>
  <c r="D78" i="35" s="1"/>
  <c r="D95" i="35" s="1"/>
  <c r="D112" i="35" s="1"/>
  <c r="D129" i="35" s="1"/>
  <c r="D146" i="35" s="1"/>
  <c r="D163" i="35" s="1"/>
  <c r="D181" i="35" s="1"/>
  <c r="C95" i="38"/>
  <c r="C112" i="38" s="1"/>
  <c r="C129" i="38" s="1"/>
  <c r="C146" i="38" s="1"/>
  <c r="C163" i="38" s="1"/>
  <c r="C181" i="38" s="1"/>
  <c r="C64" i="36"/>
  <c r="C81" i="36" s="1"/>
  <c r="C98" i="36" s="1"/>
  <c r="C115" i="36" s="1"/>
  <c r="C132" i="36" s="1"/>
  <c r="C149" i="36" s="1"/>
  <c r="C166" i="36" s="1"/>
  <c r="C184" i="36" s="1"/>
  <c r="C60" i="36"/>
  <c r="C77" i="36" s="1"/>
  <c r="C94" i="36" s="1"/>
  <c r="C111" i="36" s="1"/>
  <c r="C128" i="36" s="1"/>
  <c r="C145" i="36" s="1"/>
  <c r="C162" i="36" s="1"/>
  <c r="C180" i="36" s="1"/>
  <c r="C100" i="38"/>
  <c r="C117" i="38" s="1"/>
  <c r="C134" i="38" s="1"/>
  <c r="C151" i="38" s="1"/>
  <c r="C168" i="38" s="1"/>
  <c r="C186" i="38" s="1"/>
  <c r="B38" i="35"/>
  <c r="B36" i="35"/>
  <c r="D8" i="37"/>
  <c r="D25" i="37" s="1"/>
  <c r="D42" i="37" s="1"/>
  <c r="D59" i="37" s="1"/>
  <c r="D76" i="37" s="1"/>
  <c r="D93" i="37" s="1"/>
  <c r="D110" i="37" s="1"/>
  <c r="D127" i="37" s="1"/>
  <c r="D144" i="37" s="1"/>
  <c r="D161" i="37" s="1"/>
  <c r="D179" i="37" s="1"/>
  <c r="D8" i="38"/>
  <c r="D25" i="38" s="1"/>
  <c r="D42" i="38" s="1"/>
  <c r="D59" i="38" s="1"/>
  <c r="D76" i="38" s="1"/>
  <c r="D8" i="36"/>
  <c r="D25" i="36" s="1"/>
  <c r="D42" i="36" s="1"/>
  <c r="D8" i="35"/>
  <c r="D25" i="35" s="1"/>
  <c r="D42" i="35" s="1"/>
  <c r="D59" i="35" s="1"/>
  <c r="D76" i="35" s="1"/>
  <c r="D93" i="35" s="1"/>
  <c r="D110" i="35" s="1"/>
  <c r="D127" i="35" s="1"/>
  <c r="D144" i="35" s="1"/>
  <c r="D161" i="35" s="1"/>
  <c r="D179" i="35" s="1"/>
  <c r="D5" i="38"/>
  <c r="D22" i="38" s="1"/>
  <c r="D39" i="38" s="1"/>
  <c r="D56" i="38" s="1"/>
  <c r="D73" i="38" s="1"/>
  <c r="D90" i="38" s="1"/>
  <c r="D107" i="38" s="1"/>
  <c r="D124" i="38" s="1"/>
  <c r="D141" i="38" s="1"/>
  <c r="D158" i="38" s="1"/>
  <c r="D176" i="38" s="1"/>
  <c r="D5" i="36"/>
  <c r="D22" i="36" s="1"/>
  <c r="D39" i="36" s="1"/>
  <c r="D5" i="35"/>
  <c r="D22" i="35" s="1"/>
  <c r="D39" i="35" s="1"/>
  <c r="D56" i="35" s="1"/>
  <c r="D73" i="35" s="1"/>
  <c r="D90" i="35" s="1"/>
  <c r="D107" i="35" s="1"/>
  <c r="D124" i="35" s="1"/>
  <c r="D141" i="35" s="1"/>
  <c r="D158" i="35" s="1"/>
  <c r="D176" i="35" s="1"/>
  <c r="D5" i="37"/>
  <c r="D22" i="37" s="1"/>
  <c r="D39" i="37" s="1"/>
  <c r="D56" i="37" s="1"/>
  <c r="D73" i="37" s="1"/>
  <c r="D90" i="37" s="1"/>
  <c r="D107" i="37" s="1"/>
  <c r="D124" i="37" s="1"/>
  <c r="D141" i="37" s="1"/>
  <c r="D158" i="37" s="1"/>
  <c r="D176" i="37" s="1"/>
  <c r="D6" i="38"/>
  <c r="D23" i="38" s="1"/>
  <c r="D40" i="38" s="1"/>
  <c r="D57" i="38" s="1"/>
  <c r="D74" i="38" s="1"/>
  <c r="D6" i="36"/>
  <c r="D23" i="36" s="1"/>
  <c r="D40" i="36" s="1"/>
  <c r="D6" i="37"/>
  <c r="D23" i="37" s="1"/>
  <c r="D40" i="37" s="1"/>
  <c r="D57" i="37" s="1"/>
  <c r="D74" i="37" s="1"/>
  <c r="D91" i="37" s="1"/>
  <c r="D108" i="37" s="1"/>
  <c r="D125" i="37" s="1"/>
  <c r="D142" i="37" s="1"/>
  <c r="D159" i="37" s="1"/>
  <c r="D177" i="37" s="1"/>
  <c r="D6" i="35"/>
  <c r="D23" i="35" s="1"/>
  <c r="D40" i="35" s="1"/>
  <c r="D57" i="35" s="1"/>
  <c r="D74" i="35" s="1"/>
  <c r="D91" i="35" s="1"/>
  <c r="D108" i="35" s="1"/>
  <c r="D125" i="35" s="1"/>
  <c r="D142" i="35" s="1"/>
  <c r="D159" i="35" s="1"/>
  <c r="D177" i="35" s="1"/>
  <c r="C98" i="38"/>
  <c r="C115" i="38" s="1"/>
  <c r="C132" i="38" s="1"/>
  <c r="C149" i="38" s="1"/>
  <c r="C166" i="38" s="1"/>
  <c r="C184" i="38" s="1"/>
  <c r="C97" i="38"/>
  <c r="C114" i="38" s="1"/>
  <c r="C131" i="38" s="1"/>
  <c r="C148" i="38" s="1"/>
  <c r="C165" i="38" s="1"/>
  <c r="C183" i="38" s="1"/>
  <c r="D13" i="38"/>
  <c r="D30" i="38" s="1"/>
  <c r="D47" i="38" s="1"/>
  <c r="D64" i="38" s="1"/>
  <c r="D81" i="38" s="1"/>
  <c r="D98" i="38" s="1"/>
  <c r="D115" i="38" s="1"/>
  <c r="D132" i="38" s="1"/>
  <c r="D149" i="38" s="1"/>
  <c r="D166" i="38" s="1"/>
  <c r="D184" i="38" s="1"/>
  <c r="D13" i="37"/>
  <c r="D30" i="37" s="1"/>
  <c r="D47" i="37" s="1"/>
  <c r="D64" i="37" s="1"/>
  <c r="D81" i="37" s="1"/>
  <c r="D98" i="37" s="1"/>
  <c r="D115" i="37" s="1"/>
  <c r="D132" i="37" s="1"/>
  <c r="D149" i="37" s="1"/>
  <c r="D166" i="37" s="1"/>
  <c r="D184" i="37" s="1"/>
  <c r="D13" i="36"/>
  <c r="D30" i="36" s="1"/>
  <c r="D47" i="36" s="1"/>
  <c r="D64" i="36" s="1"/>
  <c r="D81" i="36" s="1"/>
  <c r="D98" i="36" s="1"/>
  <c r="D115" i="36" s="1"/>
  <c r="D132" i="36" s="1"/>
  <c r="D149" i="36" s="1"/>
  <c r="D166" i="36" s="1"/>
  <c r="D184" i="36" s="1"/>
  <c r="D13" i="35"/>
  <c r="D30" i="35" s="1"/>
  <c r="D47" i="35" s="1"/>
  <c r="D64" i="35" s="1"/>
  <c r="D81" i="35" s="1"/>
  <c r="D98" i="35" s="1"/>
  <c r="D115" i="35" s="1"/>
  <c r="D132" i="35" s="1"/>
  <c r="D149" i="35" s="1"/>
  <c r="D166" i="35" s="1"/>
  <c r="D184" i="35" s="1"/>
  <c r="D9" i="38"/>
  <c r="D26" i="38" s="1"/>
  <c r="D43" i="38" s="1"/>
  <c r="D60" i="38" s="1"/>
  <c r="D77" i="38" s="1"/>
  <c r="D9" i="37"/>
  <c r="D26" i="37" s="1"/>
  <c r="D43" i="37" s="1"/>
  <c r="D60" i="37" s="1"/>
  <c r="D77" i="37" s="1"/>
  <c r="D94" i="37" s="1"/>
  <c r="D111" i="37" s="1"/>
  <c r="D128" i="37" s="1"/>
  <c r="D145" i="37" s="1"/>
  <c r="D162" i="37" s="1"/>
  <c r="D180" i="37" s="1"/>
  <c r="D9" i="35"/>
  <c r="D26" i="35" s="1"/>
  <c r="D43" i="35" s="1"/>
  <c r="D60" i="35" s="1"/>
  <c r="D77" i="35" s="1"/>
  <c r="D94" i="35" s="1"/>
  <c r="D111" i="35" s="1"/>
  <c r="D128" i="35" s="1"/>
  <c r="D145" i="35" s="1"/>
  <c r="D162" i="35" s="1"/>
  <c r="D180" i="35" s="1"/>
  <c r="D9" i="36"/>
  <c r="D26" i="36" s="1"/>
  <c r="D43" i="36" s="1"/>
  <c r="C139" i="6"/>
  <c r="C83" i="6"/>
  <c r="C24" i="27" s="1"/>
  <c r="C25" i="27" s="1"/>
  <c r="B33" i="38"/>
  <c r="C21" i="35"/>
  <c r="C19" i="35"/>
  <c r="B14" i="22"/>
  <c r="D75" i="6"/>
  <c r="I6" i="22"/>
  <c r="D58" i="6"/>
  <c r="F14" i="22"/>
  <c r="B24" i="27"/>
  <c r="B25" i="27" s="1"/>
  <c r="D14" i="22"/>
  <c r="B29" i="27"/>
  <c r="B30" i="27" s="1"/>
  <c r="B8" i="27"/>
  <c r="B9" i="27" s="1"/>
  <c r="D41" i="6"/>
  <c r="D7" i="6"/>
  <c r="H14" i="22"/>
  <c r="B22" i="27"/>
  <c r="B23" i="27" s="1"/>
  <c r="I25" i="22"/>
  <c r="I29" i="22"/>
  <c r="I21" i="22"/>
  <c r="C150" i="6"/>
  <c r="D71" i="6"/>
  <c r="E71" i="6" s="1"/>
  <c r="C148" i="6"/>
  <c r="D132" i="6"/>
  <c r="D200" i="6" s="1"/>
  <c r="D64" i="6"/>
  <c r="D13" i="6"/>
  <c r="D47" i="6"/>
  <c r="D115" i="6"/>
  <c r="D98" i="6"/>
  <c r="D166" i="6" s="1"/>
  <c r="D30" i="6"/>
  <c r="D81" i="6"/>
  <c r="D149" i="6" s="1"/>
  <c r="C167" i="6"/>
  <c r="D99" i="6"/>
  <c r="D77" i="6"/>
  <c r="E77" i="6" s="1"/>
  <c r="C144" i="6"/>
  <c r="G2" i="22"/>
  <c r="C54" i="6"/>
  <c r="E2" i="22"/>
  <c r="C6" i="22"/>
  <c r="C24" i="6"/>
  <c r="G6" i="22"/>
  <c r="C92" i="6"/>
  <c r="K6" i="22"/>
  <c r="C109" i="6"/>
  <c r="C117" i="6" s="1"/>
  <c r="H6" i="22"/>
  <c r="C147" i="6"/>
  <c r="C143" i="6"/>
  <c r="J6" i="22"/>
  <c r="D90" i="6"/>
  <c r="C158" i="6"/>
  <c r="J2" i="22"/>
  <c r="D97" i="6"/>
  <c r="C165" i="6"/>
  <c r="D89" i="6"/>
  <c r="C157" i="6"/>
  <c r="D93" i="6"/>
  <c r="C161" i="6"/>
  <c r="D74" i="6"/>
  <c r="C142" i="6"/>
  <c r="E95" i="6"/>
  <c r="D163" i="6"/>
  <c r="E61" i="6"/>
  <c r="E79" i="6"/>
  <c r="D147" i="6"/>
  <c r="E76" i="6"/>
  <c r="D144" i="6"/>
  <c r="E80" i="6"/>
  <c r="D148" i="6"/>
  <c r="E78" i="6"/>
  <c r="D146" i="6"/>
  <c r="D150" i="6"/>
  <c r="E113" i="6"/>
  <c r="E112" i="6"/>
  <c r="D107" i="6"/>
  <c r="D108" i="6"/>
  <c r="D106" i="6"/>
  <c r="D114" i="6"/>
  <c r="D110" i="6"/>
  <c r="D111" i="6"/>
  <c r="M30" i="1"/>
  <c r="M36" i="1"/>
  <c r="M25" i="1"/>
  <c r="M22" i="1"/>
  <c r="M34" i="1"/>
  <c r="M26" i="1"/>
  <c r="M29" i="1"/>
  <c r="M32" i="1"/>
  <c r="M24" i="1"/>
  <c r="M28" i="1"/>
  <c r="M35" i="1"/>
  <c r="M31" i="1"/>
  <c r="M27" i="1"/>
  <c r="M23" i="1"/>
  <c r="M33" i="1"/>
  <c r="D17" i="2"/>
  <c r="N37" i="1"/>
  <c r="F3" i="49" s="1"/>
  <c r="D126" i="6"/>
  <c r="O53" i="1"/>
  <c r="O45" i="1"/>
  <c r="P12" i="1"/>
  <c r="P20" i="1" s="1"/>
  <c r="O44" i="1"/>
  <c r="E252" i="6" l="1"/>
  <c r="D177" i="6"/>
  <c r="E251" i="6"/>
  <c r="E234" i="6"/>
  <c r="E268" i="6"/>
  <c r="E217" i="6"/>
  <c r="E183" i="6"/>
  <c r="L36" i="35"/>
  <c r="B4" i="13" s="1"/>
  <c r="B30" i="13" s="1"/>
  <c r="H4" i="13"/>
  <c r="D258" i="6"/>
  <c r="C270" i="6"/>
  <c r="D228" i="6"/>
  <c r="C57" i="27"/>
  <c r="E262" i="6"/>
  <c r="E173" i="6"/>
  <c r="D185" i="6"/>
  <c r="D45" i="27" s="1"/>
  <c r="D46" i="27" s="1"/>
  <c r="C219" i="6"/>
  <c r="L202" i="6"/>
  <c r="M14" i="22"/>
  <c r="B101" i="27"/>
  <c r="B102" i="27" s="1"/>
  <c r="B103" i="27" s="1"/>
  <c r="B204" i="6" s="1"/>
  <c r="M16" i="22" s="1"/>
  <c r="C185" i="6"/>
  <c r="C45" i="27" s="1"/>
  <c r="C46" i="27" s="1"/>
  <c r="E207" i="6"/>
  <c r="D219" i="6"/>
  <c r="D52" i="27" s="1"/>
  <c r="D53" i="27" s="1"/>
  <c r="L236" i="6"/>
  <c r="O14" i="22"/>
  <c r="B108" i="27"/>
  <c r="B109" i="27" s="1"/>
  <c r="D190" i="6"/>
  <c r="C202" i="6"/>
  <c r="C101" i="27" s="1"/>
  <c r="C102" i="27" s="1"/>
  <c r="C236" i="6"/>
  <c r="C108" i="27" s="1"/>
  <c r="C109" i="27" s="1"/>
  <c r="D224" i="6"/>
  <c r="D194" i="6"/>
  <c r="L270" i="6"/>
  <c r="Q14" i="22"/>
  <c r="B115" i="27"/>
  <c r="B116" i="27" s="1"/>
  <c r="B117" i="27" s="1"/>
  <c r="B272" i="6" s="1"/>
  <c r="Q16" i="22" s="1"/>
  <c r="B106" i="27"/>
  <c r="B107" i="27" s="1"/>
  <c r="B110" i="27" s="1"/>
  <c r="B238" i="6" s="1"/>
  <c r="O16" i="22" s="1"/>
  <c r="C24" i="43"/>
  <c r="Q24" i="43" s="1"/>
  <c r="E77" i="46" s="1"/>
  <c r="B9" i="46"/>
  <c r="F133" i="6"/>
  <c r="F235" i="6"/>
  <c r="C164" i="6"/>
  <c r="C162" i="6"/>
  <c r="C159" i="6"/>
  <c r="B168" i="6"/>
  <c r="B94" i="27" s="1"/>
  <c r="E75" i="46"/>
  <c r="C58" i="27"/>
  <c r="C61" i="27" s="1"/>
  <c r="F31" i="6"/>
  <c r="F218" i="6"/>
  <c r="G247" i="6"/>
  <c r="B61" i="27"/>
  <c r="F48" i="6"/>
  <c r="G184" i="6" s="1"/>
  <c r="F252" i="6"/>
  <c r="F245" i="6"/>
  <c r="E241" i="6"/>
  <c r="D253" i="6"/>
  <c r="D57" i="27" s="1"/>
  <c r="E78" i="49"/>
  <c r="D84" i="49"/>
  <c r="D85" i="49" s="1"/>
  <c r="D16" i="49"/>
  <c r="D88" i="49" s="1"/>
  <c r="F14" i="49"/>
  <c r="E12" i="49"/>
  <c r="F77" i="49"/>
  <c r="S16" i="43"/>
  <c r="C31" i="46" s="1"/>
  <c r="B31" i="46"/>
  <c r="B51" i="46" s="1"/>
  <c r="B75" i="46" s="1"/>
  <c r="D96" i="6"/>
  <c r="B78" i="27"/>
  <c r="B79" i="27" s="1"/>
  <c r="D141" i="6"/>
  <c r="B38" i="27"/>
  <c r="B39" i="27" s="1"/>
  <c r="D91" i="6"/>
  <c r="E140" i="6"/>
  <c r="C134" i="6"/>
  <c r="C85" i="27" s="1"/>
  <c r="C86" i="27" s="1"/>
  <c r="B12" i="27"/>
  <c r="D94" i="6"/>
  <c r="C32" i="6"/>
  <c r="C66" i="27" s="1"/>
  <c r="C67" i="27" s="1"/>
  <c r="B64" i="27"/>
  <c r="B65" i="27" s="1"/>
  <c r="B66" i="27"/>
  <c r="B67" i="27" s="1"/>
  <c r="C14" i="22"/>
  <c r="B85" i="27"/>
  <c r="B86" i="27" s="1"/>
  <c r="B50" i="38"/>
  <c r="B53" i="38" s="1"/>
  <c r="B19" i="27"/>
  <c r="E6" i="38"/>
  <c r="E23" i="38" s="1"/>
  <c r="E40" i="38" s="1"/>
  <c r="E57" i="38" s="1"/>
  <c r="E74" i="38" s="1"/>
  <c r="E6" i="36"/>
  <c r="E23" i="36" s="1"/>
  <c r="E40" i="36" s="1"/>
  <c r="E6" i="37"/>
  <c r="E23" i="37" s="1"/>
  <c r="E40" i="37" s="1"/>
  <c r="E57" i="37" s="1"/>
  <c r="E74" i="37" s="1"/>
  <c r="E91" i="37" s="1"/>
  <c r="E108" i="37" s="1"/>
  <c r="E125" i="37" s="1"/>
  <c r="E142" i="37" s="1"/>
  <c r="E159" i="37" s="1"/>
  <c r="E177" i="37" s="1"/>
  <c r="E6" i="35"/>
  <c r="E23" i="35" s="1"/>
  <c r="E40" i="35" s="1"/>
  <c r="E57" i="35" s="1"/>
  <c r="E74" i="35" s="1"/>
  <c r="E91" i="35" s="1"/>
  <c r="E108" i="35" s="1"/>
  <c r="E125" i="35" s="1"/>
  <c r="E142" i="35" s="1"/>
  <c r="E159" i="35" s="1"/>
  <c r="E177" i="35" s="1"/>
  <c r="D91" i="38"/>
  <c r="D108" i="38" s="1"/>
  <c r="D125" i="38" s="1"/>
  <c r="D142" i="38" s="1"/>
  <c r="D159" i="38" s="1"/>
  <c r="D177" i="38" s="1"/>
  <c r="D58" i="36"/>
  <c r="D75" i="36" s="1"/>
  <c r="D92" i="36" s="1"/>
  <c r="D109" i="36" s="1"/>
  <c r="D126" i="36" s="1"/>
  <c r="D143" i="36" s="1"/>
  <c r="D160" i="36" s="1"/>
  <c r="D178" i="36" s="1"/>
  <c r="C38" i="37"/>
  <c r="D49" i="6"/>
  <c r="D17" i="27" s="1"/>
  <c r="D18" i="27" s="1"/>
  <c r="E139" i="6"/>
  <c r="E16" i="37"/>
  <c r="E16" i="38"/>
  <c r="E16" i="36"/>
  <c r="E16" i="35"/>
  <c r="E37" i="6"/>
  <c r="F37" i="6" s="1"/>
  <c r="E11" i="37"/>
  <c r="E28" i="37" s="1"/>
  <c r="E45" i="37" s="1"/>
  <c r="E62" i="37" s="1"/>
  <c r="E79" i="37" s="1"/>
  <c r="E96" i="37" s="1"/>
  <c r="E113" i="37" s="1"/>
  <c r="E130" i="37" s="1"/>
  <c r="E147" i="37" s="1"/>
  <c r="E164" i="37" s="1"/>
  <c r="E182" i="37" s="1"/>
  <c r="E11" i="38"/>
  <c r="E28" i="38" s="1"/>
  <c r="E45" i="38" s="1"/>
  <c r="E62" i="38" s="1"/>
  <c r="E79" i="38" s="1"/>
  <c r="E96" i="38" s="1"/>
  <c r="E113" i="38" s="1"/>
  <c r="E130" i="38" s="1"/>
  <c r="E147" i="38" s="1"/>
  <c r="E164" i="38" s="1"/>
  <c r="E182" i="38" s="1"/>
  <c r="E11" i="36"/>
  <c r="E28" i="36" s="1"/>
  <c r="E45" i="36" s="1"/>
  <c r="E11" i="35"/>
  <c r="E28" i="35" s="1"/>
  <c r="E45" i="35" s="1"/>
  <c r="E62" i="35" s="1"/>
  <c r="E79" i="35" s="1"/>
  <c r="E96" i="35" s="1"/>
  <c r="E113" i="35" s="1"/>
  <c r="E130" i="35" s="1"/>
  <c r="E147" i="35" s="1"/>
  <c r="E164" i="35" s="1"/>
  <c r="E182" i="35" s="1"/>
  <c r="B55" i="35"/>
  <c r="D15" i="6"/>
  <c r="D8" i="27" s="1"/>
  <c r="D9" i="27" s="1"/>
  <c r="D96" i="38"/>
  <c r="D113" i="38" s="1"/>
  <c r="D130" i="38" s="1"/>
  <c r="D147" i="38" s="1"/>
  <c r="D164" i="38" s="1"/>
  <c r="D182" i="38" s="1"/>
  <c r="D134" i="6"/>
  <c r="D21" i="36"/>
  <c r="D33" i="36" s="1"/>
  <c r="D19" i="36"/>
  <c r="B55" i="36"/>
  <c r="E8" i="37"/>
  <c r="E25" i="37" s="1"/>
  <c r="E42" i="37" s="1"/>
  <c r="E59" i="37" s="1"/>
  <c r="E76" i="37" s="1"/>
  <c r="E93" i="37" s="1"/>
  <c r="E110" i="37" s="1"/>
  <c r="E127" i="37" s="1"/>
  <c r="E144" i="37" s="1"/>
  <c r="E161" i="37" s="1"/>
  <c r="E179" i="37" s="1"/>
  <c r="E8" i="38"/>
  <c r="E25" i="38" s="1"/>
  <c r="E42" i="38" s="1"/>
  <c r="E59" i="38" s="1"/>
  <c r="E76" i="38" s="1"/>
  <c r="E8" i="36"/>
  <c r="E25" i="36" s="1"/>
  <c r="E42" i="36" s="1"/>
  <c r="E8" i="35"/>
  <c r="E25" i="35" s="1"/>
  <c r="E42" i="35" s="1"/>
  <c r="E59" i="35" s="1"/>
  <c r="E76" i="35" s="1"/>
  <c r="E93" i="35" s="1"/>
  <c r="E110" i="35" s="1"/>
  <c r="E127" i="35" s="1"/>
  <c r="E144" i="35" s="1"/>
  <c r="E161" i="35" s="1"/>
  <c r="E179" i="35" s="1"/>
  <c r="D54" i="6"/>
  <c r="C66" i="6"/>
  <c r="C151" i="6"/>
  <c r="C38" i="27" s="1"/>
  <c r="C39" i="27" s="1"/>
  <c r="D56" i="36"/>
  <c r="D73" i="36" s="1"/>
  <c r="D90" i="36" s="1"/>
  <c r="D107" i="36" s="1"/>
  <c r="D124" i="36" s="1"/>
  <c r="D141" i="36" s="1"/>
  <c r="D158" i="36" s="1"/>
  <c r="D176" i="36" s="1"/>
  <c r="D63" i="36"/>
  <c r="D80" i="36" s="1"/>
  <c r="D97" i="36" s="1"/>
  <c r="D114" i="36" s="1"/>
  <c r="D131" i="36" s="1"/>
  <c r="D148" i="36" s="1"/>
  <c r="D165" i="36" s="1"/>
  <c r="D183" i="36" s="1"/>
  <c r="D21" i="35"/>
  <c r="D33" i="35" s="1"/>
  <c r="D19" i="35"/>
  <c r="C38" i="38"/>
  <c r="C36" i="38"/>
  <c r="E12" i="37"/>
  <c r="E29" i="37" s="1"/>
  <c r="E46" i="37" s="1"/>
  <c r="E63" i="37" s="1"/>
  <c r="E80" i="37" s="1"/>
  <c r="E97" i="37" s="1"/>
  <c r="E114" i="37" s="1"/>
  <c r="E131" i="37" s="1"/>
  <c r="E148" i="37" s="1"/>
  <c r="E165" i="37" s="1"/>
  <c r="E183" i="37" s="1"/>
  <c r="E12" i="38"/>
  <c r="E29" i="38" s="1"/>
  <c r="E46" i="38" s="1"/>
  <c r="E63" i="38" s="1"/>
  <c r="E80" i="38" s="1"/>
  <c r="E12" i="35"/>
  <c r="E29" i="35" s="1"/>
  <c r="E46" i="35" s="1"/>
  <c r="E63" i="35" s="1"/>
  <c r="E80" i="35" s="1"/>
  <c r="E97" i="35" s="1"/>
  <c r="E114" i="35" s="1"/>
  <c r="E131" i="35" s="1"/>
  <c r="E148" i="35" s="1"/>
  <c r="E165" i="35" s="1"/>
  <c r="E183" i="35" s="1"/>
  <c r="E12" i="36"/>
  <c r="E29" i="36" s="1"/>
  <c r="E46" i="36" s="1"/>
  <c r="C100" i="6"/>
  <c r="C80" i="27" s="1"/>
  <c r="C81" i="27" s="1"/>
  <c r="D60" i="36"/>
  <c r="D77" i="36" s="1"/>
  <c r="D94" i="36" s="1"/>
  <c r="D111" i="36" s="1"/>
  <c r="D128" i="36" s="1"/>
  <c r="D145" i="36" s="1"/>
  <c r="D162" i="36" s="1"/>
  <c r="D180" i="36" s="1"/>
  <c r="B55" i="37"/>
  <c r="D100" i="38"/>
  <c r="D117" i="38" s="1"/>
  <c r="D134" i="38" s="1"/>
  <c r="D151" i="38" s="1"/>
  <c r="D168" i="38" s="1"/>
  <c r="D186" i="38" s="1"/>
  <c r="B50" i="36"/>
  <c r="B53" i="36" s="1"/>
  <c r="L53" i="36" s="1"/>
  <c r="C36" i="36"/>
  <c r="C38" i="36"/>
  <c r="C50" i="36" s="1"/>
  <c r="D21" i="38"/>
  <c r="D19" i="38"/>
  <c r="C33" i="37"/>
  <c r="E105" i="6"/>
  <c r="F105" i="6" s="1"/>
  <c r="E5" i="38"/>
  <c r="E22" i="38" s="1"/>
  <c r="E39" i="38" s="1"/>
  <c r="E56" i="38" s="1"/>
  <c r="E73" i="38" s="1"/>
  <c r="E5" i="37"/>
  <c r="E22" i="37" s="1"/>
  <c r="E39" i="37" s="1"/>
  <c r="E56" i="37" s="1"/>
  <c r="E73" i="37" s="1"/>
  <c r="E90" i="37" s="1"/>
  <c r="E107" i="37" s="1"/>
  <c r="E124" i="37" s="1"/>
  <c r="E141" i="37" s="1"/>
  <c r="E158" i="37" s="1"/>
  <c r="E176" i="37" s="1"/>
  <c r="E5" i="36"/>
  <c r="E22" i="36" s="1"/>
  <c r="E39" i="36" s="1"/>
  <c r="E5" i="35"/>
  <c r="E22" i="35" s="1"/>
  <c r="E39" i="35" s="1"/>
  <c r="E56" i="35" s="1"/>
  <c r="E73" i="35" s="1"/>
  <c r="E90" i="35" s="1"/>
  <c r="E107" i="35" s="1"/>
  <c r="E124" i="35" s="1"/>
  <c r="E141" i="35" s="1"/>
  <c r="E158" i="35" s="1"/>
  <c r="E176" i="35" s="1"/>
  <c r="E9" i="38"/>
  <c r="E26" i="38" s="1"/>
  <c r="E43" i="38" s="1"/>
  <c r="E60" i="38" s="1"/>
  <c r="E77" i="38" s="1"/>
  <c r="E94" i="38" s="1"/>
  <c r="E111" i="38" s="1"/>
  <c r="E128" i="38" s="1"/>
  <c r="E145" i="38" s="1"/>
  <c r="E162" i="38" s="1"/>
  <c r="E180" i="38" s="1"/>
  <c r="E9" i="35"/>
  <c r="E26" i="35" s="1"/>
  <c r="E43" i="35" s="1"/>
  <c r="E60" i="35" s="1"/>
  <c r="E77" i="35" s="1"/>
  <c r="E94" i="35" s="1"/>
  <c r="E111" i="35" s="1"/>
  <c r="E128" i="35" s="1"/>
  <c r="E145" i="35" s="1"/>
  <c r="E162" i="35" s="1"/>
  <c r="E180" i="35" s="1"/>
  <c r="E9" i="37"/>
  <c r="E26" i="37" s="1"/>
  <c r="E43" i="37" s="1"/>
  <c r="E60" i="37" s="1"/>
  <c r="E77" i="37" s="1"/>
  <c r="E94" i="37" s="1"/>
  <c r="E111" i="37" s="1"/>
  <c r="E128" i="37" s="1"/>
  <c r="E145" i="37" s="1"/>
  <c r="E162" i="37" s="1"/>
  <c r="E180" i="37" s="1"/>
  <c r="E9" i="36"/>
  <c r="E26" i="36" s="1"/>
  <c r="E43" i="36" s="1"/>
  <c r="E60" i="36" s="1"/>
  <c r="E77" i="36" s="1"/>
  <c r="E94" i="36" s="1"/>
  <c r="E111" i="36" s="1"/>
  <c r="E128" i="36" s="1"/>
  <c r="E145" i="36" s="1"/>
  <c r="E162" i="36" s="1"/>
  <c r="E180" i="36" s="1"/>
  <c r="E13" i="38"/>
  <c r="E30" i="38" s="1"/>
  <c r="E47" i="38" s="1"/>
  <c r="E64" i="38" s="1"/>
  <c r="E81" i="38" s="1"/>
  <c r="E13" i="37"/>
  <c r="E30" i="37" s="1"/>
  <c r="E47" i="37" s="1"/>
  <c r="E64" i="37" s="1"/>
  <c r="E81" i="37" s="1"/>
  <c r="E98" i="37" s="1"/>
  <c r="E115" i="37" s="1"/>
  <c r="E132" i="37" s="1"/>
  <c r="E149" i="37" s="1"/>
  <c r="E166" i="37" s="1"/>
  <c r="E184" i="37" s="1"/>
  <c r="E13" i="36"/>
  <c r="E30" i="36" s="1"/>
  <c r="E47" i="36" s="1"/>
  <c r="E13" i="35"/>
  <c r="E30" i="35" s="1"/>
  <c r="E47" i="35" s="1"/>
  <c r="E64" i="35" s="1"/>
  <c r="E81" i="35" s="1"/>
  <c r="E98" i="35" s="1"/>
  <c r="E115" i="35" s="1"/>
  <c r="E132" i="35" s="1"/>
  <c r="E149" i="35" s="1"/>
  <c r="E166" i="35" s="1"/>
  <c r="E184" i="35" s="1"/>
  <c r="E4" i="37"/>
  <c r="E4" i="38"/>
  <c r="E4" i="35"/>
  <c r="E4" i="36"/>
  <c r="D160" i="6"/>
  <c r="D139" i="6"/>
  <c r="D83" i="6"/>
  <c r="D24" i="27" s="1"/>
  <c r="D25" i="27" s="1"/>
  <c r="D61" i="36"/>
  <c r="D78" i="36" s="1"/>
  <c r="D95" i="36" s="1"/>
  <c r="D112" i="36" s="1"/>
  <c r="D129" i="36" s="1"/>
  <c r="D146" i="36" s="1"/>
  <c r="D163" i="36" s="1"/>
  <c r="D181" i="36" s="1"/>
  <c r="D97" i="38"/>
  <c r="D114" i="38" s="1"/>
  <c r="D131" i="38" s="1"/>
  <c r="D148" i="38" s="1"/>
  <c r="D165" i="38" s="1"/>
  <c r="D183" i="38" s="1"/>
  <c r="B55" i="38"/>
  <c r="D21" i="37"/>
  <c r="D19" i="37"/>
  <c r="D99" i="38"/>
  <c r="D116" i="38" s="1"/>
  <c r="D133" i="38" s="1"/>
  <c r="D150" i="38" s="1"/>
  <c r="D167" i="38" s="1"/>
  <c r="D185" i="38" s="1"/>
  <c r="D202" i="38" s="1"/>
  <c r="B36" i="38"/>
  <c r="L36" i="38" s="1"/>
  <c r="C4" i="13" s="1"/>
  <c r="B50" i="37"/>
  <c r="E14" i="38"/>
  <c r="E31" i="38" s="1"/>
  <c r="E48" i="38" s="1"/>
  <c r="E65" i="38" s="1"/>
  <c r="E82" i="38" s="1"/>
  <c r="E14" i="36"/>
  <c r="E31" i="36" s="1"/>
  <c r="E48" i="36" s="1"/>
  <c r="E65" i="36" s="1"/>
  <c r="E82" i="36" s="1"/>
  <c r="E99" i="36" s="1"/>
  <c r="E116" i="36" s="1"/>
  <c r="E133" i="36" s="1"/>
  <c r="E150" i="36" s="1"/>
  <c r="E167" i="36" s="1"/>
  <c r="E185" i="36" s="1"/>
  <c r="E202" i="36" s="1"/>
  <c r="E14" i="37"/>
  <c r="E31" i="37" s="1"/>
  <c r="E48" i="37" s="1"/>
  <c r="E65" i="37" s="1"/>
  <c r="E82" i="37" s="1"/>
  <c r="E99" i="37" s="1"/>
  <c r="E116" i="37" s="1"/>
  <c r="E133" i="37" s="1"/>
  <c r="E150" i="37" s="1"/>
  <c r="E167" i="37" s="1"/>
  <c r="E185" i="37" s="1"/>
  <c r="E202" i="37" s="1"/>
  <c r="E14" i="35"/>
  <c r="E31" i="35" s="1"/>
  <c r="E48" i="35" s="1"/>
  <c r="E65" i="35" s="1"/>
  <c r="E82" i="35" s="1"/>
  <c r="E99" i="35" s="1"/>
  <c r="E116" i="35" s="1"/>
  <c r="E133" i="35" s="1"/>
  <c r="E150" i="35" s="1"/>
  <c r="E167" i="35" s="1"/>
  <c r="E185" i="35" s="1"/>
  <c r="E202" i="35" s="1"/>
  <c r="E7" i="37"/>
  <c r="E24" i="37" s="1"/>
  <c r="E41" i="37" s="1"/>
  <c r="E58" i="37" s="1"/>
  <c r="E75" i="37" s="1"/>
  <c r="E92" i="37" s="1"/>
  <c r="E109" i="37" s="1"/>
  <c r="E126" i="37" s="1"/>
  <c r="E143" i="37" s="1"/>
  <c r="E160" i="37" s="1"/>
  <c r="E178" i="37" s="1"/>
  <c r="E7" i="36"/>
  <c r="E24" i="36" s="1"/>
  <c r="E41" i="36" s="1"/>
  <c r="E7" i="38"/>
  <c r="E24" i="38" s="1"/>
  <c r="E41" i="38" s="1"/>
  <c r="E58" i="38" s="1"/>
  <c r="E75" i="38" s="1"/>
  <c r="E92" i="38" s="1"/>
  <c r="E109" i="38" s="1"/>
  <c r="E126" i="38" s="1"/>
  <c r="E143" i="38" s="1"/>
  <c r="E160" i="38" s="1"/>
  <c r="E178" i="38" s="1"/>
  <c r="E7" i="35"/>
  <c r="E24" i="35" s="1"/>
  <c r="E41" i="35" s="1"/>
  <c r="E58" i="35" s="1"/>
  <c r="E75" i="35" s="1"/>
  <c r="E92" i="35" s="1"/>
  <c r="E109" i="35" s="1"/>
  <c r="E126" i="35" s="1"/>
  <c r="E143" i="35" s="1"/>
  <c r="E160" i="35" s="1"/>
  <c r="E178" i="35" s="1"/>
  <c r="K2" i="22"/>
  <c r="D59" i="36"/>
  <c r="D76" i="36" s="1"/>
  <c r="D93" i="36" s="1"/>
  <c r="D110" i="36" s="1"/>
  <c r="D127" i="36" s="1"/>
  <c r="D144" i="36" s="1"/>
  <c r="D161" i="36" s="1"/>
  <c r="D179" i="36" s="1"/>
  <c r="E10" i="37"/>
  <c r="E27" i="37" s="1"/>
  <c r="E44" i="37" s="1"/>
  <c r="E61" i="37" s="1"/>
  <c r="E78" i="37" s="1"/>
  <c r="E95" i="37" s="1"/>
  <c r="E112" i="37" s="1"/>
  <c r="E129" i="37" s="1"/>
  <c r="E146" i="37" s="1"/>
  <c r="E163" i="37" s="1"/>
  <c r="E181" i="37" s="1"/>
  <c r="E10" i="36"/>
  <c r="E27" i="36" s="1"/>
  <c r="E44" i="36" s="1"/>
  <c r="E61" i="36" s="1"/>
  <c r="E78" i="36" s="1"/>
  <c r="E95" i="36" s="1"/>
  <c r="E112" i="36" s="1"/>
  <c r="E129" i="36" s="1"/>
  <c r="E146" i="36" s="1"/>
  <c r="E163" i="36" s="1"/>
  <c r="E181" i="36" s="1"/>
  <c r="E10" i="38"/>
  <c r="E27" i="38" s="1"/>
  <c r="E44" i="38" s="1"/>
  <c r="E61" i="38" s="1"/>
  <c r="E78" i="38" s="1"/>
  <c r="E10" i="35"/>
  <c r="E27" i="35" s="1"/>
  <c r="E44" i="35" s="1"/>
  <c r="E61" i="35" s="1"/>
  <c r="E78" i="35" s="1"/>
  <c r="E95" i="35" s="1"/>
  <c r="E112" i="35" s="1"/>
  <c r="E129" i="35" s="1"/>
  <c r="E146" i="35" s="1"/>
  <c r="E163" i="35" s="1"/>
  <c r="E181" i="35" s="1"/>
  <c r="M47" i="1"/>
  <c r="E15" i="37"/>
  <c r="E32" i="37" s="1"/>
  <c r="E49" i="37" s="1"/>
  <c r="E66" i="37" s="1"/>
  <c r="E83" i="37" s="1"/>
  <c r="E100" i="37" s="1"/>
  <c r="E117" i="37" s="1"/>
  <c r="E134" i="37" s="1"/>
  <c r="E151" i="37" s="1"/>
  <c r="E168" i="37" s="1"/>
  <c r="E186" i="37" s="1"/>
  <c r="E15" i="36"/>
  <c r="E32" i="36" s="1"/>
  <c r="E49" i="36" s="1"/>
  <c r="E66" i="36" s="1"/>
  <c r="E83" i="36" s="1"/>
  <c r="E100" i="36" s="1"/>
  <c r="E117" i="36" s="1"/>
  <c r="E134" i="36" s="1"/>
  <c r="E151" i="36" s="1"/>
  <c r="E168" i="36" s="1"/>
  <c r="E186" i="36" s="1"/>
  <c r="E15" i="38"/>
  <c r="E32" i="38" s="1"/>
  <c r="E49" i="38" s="1"/>
  <c r="E66" i="38" s="1"/>
  <c r="E83" i="38" s="1"/>
  <c r="E15" i="35"/>
  <c r="E32" i="35" s="1"/>
  <c r="E49" i="35" s="1"/>
  <c r="E66" i="35" s="1"/>
  <c r="E83" i="35" s="1"/>
  <c r="E100" i="35" s="1"/>
  <c r="E117" i="35" s="1"/>
  <c r="E134" i="35" s="1"/>
  <c r="E151" i="35" s="1"/>
  <c r="E168" i="35" s="1"/>
  <c r="E186" i="35" s="1"/>
  <c r="C38" i="35"/>
  <c r="D94" i="38"/>
  <c r="D111" i="38" s="1"/>
  <c r="D128" i="38" s="1"/>
  <c r="D145" i="38" s="1"/>
  <c r="D162" i="38" s="1"/>
  <c r="D180" i="38" s="1"/>
  <c r="C33" i="35"/>
  <c r="D57" i="36"/>
  <c r="D74" i="36" s="1"/>
  <c r="D91" i="36" s="1"/>
  <c r="D108" i="36" s="1"/>
  <c r="D125" i="36" s="1"/>
  <c r="D142" i="36" s="1"/>
  <c r="D159" i="36" s="1"/>
  <c r="D177" i="36" s="1"/>
  <c r="D93" i="38"/>
  <c r="D110" i="38" s="1"/>
  <c r="D127" i="38" s="1"/>
  <c r="D144" i="38" s="1"/>
  <c r="D161" i="38" s="1"/>
  <c r="D179" i="38" s="1"/>
  <c r="D92" i="38"/>
  <c r="D109" i="38" s="1"/>
  <c r="D126" i="38" s="1"/>
  <c r="D143" i="38" s="1"/>
  <c r="D160" i="38" s="1"/>
  <c r="D178" i="38" s="1"/>
  <c r="B50" i="35"/>
  <c r="B26" i="27"/>
  <c r="B85" i="6" s="1"/>
  <c r="B171" i="35" s="1"/>
  <c r="C8" i="27"/>
  <c r="C9" i="27" s="1"/>
  <c r="C12" i="27" s="1"/>
  <c r="C17" i="6" s="1"/>
  <c r="B33" i="27"/>
  <c r="B119" i="6" s="1"/>
  <c r="B171" i="37" s="1"/>
  <c r="D24" i="6"/>
  <c r="D32" i="6" s="1"/>
  <c r="E58" i="6"/>
  <c r="D109" i="6"/>
  <c r="D117" i="6" s="1"/>
  <c r="D31" i="27" s="1"/>
  <c r="D32" i="27" s="1"/>
  <c r="I14" i="22"/>
  <c r="B87" i="27"/>
  <c r="B88" i="27" s="1"/>
  <c r="G14" i="22"/>
  <c r="B80" i="27"/>
  <c r="B81" i="27" s="1"/>
  <c r="E7" i="6"/>
  <c r="E15" i="6" s="1"/>
  <c r="C15" i="27"/>
  <c r="C16" i="27" s="1"/>
  <c r="C19" i="27" s="1"/>
  <c r="C22" i="27"/>
  <c r="C23" i="27" s="1"/>
  <c r="C26" i="27" s="1"/>
  <c r="C85" i="6" s="1"/>
  <c r="C171" i="35" s="1"/>
  <c r="E41" i="6"/>
  <c r="E75" i="6"/>
  <c r="J14" i="22"/>
  <c r="B73" i="27"/>
  <c r="B74" i="27" s="1"/>
  <c r="B71" i="27"/>
  <c r="B72" i="27" s="1"/>
  <c r="D92" i="6"/>
  <c r="D143" i="6"/>
  <c r="B36" i="27"/>
  <c r="B37" i="27" s="1"/>
  <c r="D145" i="6"/>
  <c r="N35" i="1"/>
  <c r="N24" i="1"/>
  <c r="E132" i="6"/>
  <c r="E200" i="6" s="1"/>
  <c r="E64" i="6"/>
  <c r="E115" i="6"/>
  <c r="E47" i="6"/>
  <c r="E13" i="6"/>
  <c r="E98" i="6"/>
  <c r="E166" i="6" s="1"/>
  <c r="E30" i="6"/>
  <c r="E81" i="6"/>
  <c r="E149" i="6" s="1"/>
  <c r="E99" i="6"/>
  <c r="D167" i="6"/>
  <c r="C31" i="27"/>
  <c r="C32" i="27" s="1"/>
  <c r="E14" i="22"/>
  <c r="C156" i="6"/>
  <c r="D88" i="6"/>
  <c r="E74" i="6"/>
  <c r="D142" i="6"/>
  <c r="D159" i="6"/>
  <c r="E93" i="6"/>
  <c r="D161" i="6"/>
  <c r="E97" i="6"/>
  <c r="D165" i="6"/>
  <c r="E90" i="6"/>
  <c r="D158" i="6"/>
  <c r="F95" i="6"/>
  <c r="E163" i="6"/>
  <c r="E89" i="6"/>
  <c r="D157" i="6"/>
  <c r="F76" i="6"/>
  <c r="E144" i="6"/>
  <c r="F80" i="6"/>
  <c r="E148" i="6"/>
  <c r="G72" i="6"/>
  <c r="F140" i="6"/>
  <c r="F79" i="6"/>
  <c r="E147" i="6"/>
  <c r="F77" i="6"/>
  <c r="E145" i="6"/>
  <c r="F78" i="6"/>
  <c r="E146" i="6"/>
  <c r="F73" i="6"/>
  <c r="E141" i="6"/>
  <c r="F61" i="6"/>
  <c r="E150" i="6"/>
  <c r="F122" i="6"/>
  <c r="E110" i="6"/>
  <c r="E107" i="6"/>
  <c r="E111" i="6"/>
  <c r="E106" i="6"/>
  <c r="E108" i="6"/>
  <c r="F112" i="6"/>
  <c r="E114" i="6"/>
  <c r="F113" i="6"/>
  <c r="N29" i="1"/>
  <c r="N36" i="1"/>
  <c r="N28" i="1"/>
  <c r="N33" i="1"/>
  <c r="N27" i="1"/>
  <c r="N31" i="1"/>
  <c r="N23" i="1"/>
  <c r="N25" i="1"/>
  <c r="N22" i="1"/>
  <c r="N34" i="1"/>
  <c r="N26" i="1"/>
  <c r="N30" i="1"/>
  <c r="N32" i="1"/>
  <c r="E17" i="2"/>
  <c r="O37" i="1"/>
  <c r="G3" i="49" s="1"/>
  <c r="E126" i="6"/>
  <c r="E134" i="6" s="1"/>
  <c r="F20" i="6"/>
  <c r="P53" i="1"/>
  <c r="P45" i="1"/>
  <c r="F71" i="6"/>
  <c r="F3" i="6"/>
  <c r="Q12" i="1"/>
  <c r="Q20" i="1" s="1"/>
  <c r="P44" i="1"/>
  <c r="F4" i="13" l="1"/>
  <c r="C99" i="27"/>
  <c r="C100" i="27" s="1"/>
  <c r="C103" i="27" s="1"/>
  <c r="C204" i="6" s="1"/>
  <c r="C106" i="27"/>
  <c r="C107" i="27" s="1"/>
  <c r="C110" i="27" s="1"/>
  <c r="C238" i="6" s="1"/>
  <c r="E194" i="6"/>
  <c r="E228" i="6"/>
  <c r="D236" i="6"/>
  <c r="D108" i="27" s="1"/>
  <c r="D109" i="27" s="1"/>
  <c r="E224" i="6"/>
  <c r="C50" i="27"/>
  <c r="C51" i="27" s="1"/>
  <c r="C52" i="27"/>
  <c r="C53" i="27" s="1"/>
  <c r="C115" i="27"/>
  <c r="C116" i="27" s="1"/>
  <c r="C113" i="27"/>
  <c r="C114" i="27" s="1"/>
  <c r="F207" i="6"/>
  <c r="E219" i="6"/>
  <c r="E258" i="6"/>
  <c r="D270" i="6"/>
  <c r="D115" i="27" s="1"/>
  <c r="D116" i="27" s="1"/>
  <c r="F251" i="6"/>
  <c r="F268" i="6"/>
  <c r="F234" i="6"/>
  <c r="F183" i="6"/>
  <c r="F217" i="6"/>
  <c r="D50" i="27"/>
  <c r="D51" i="27" s="1"/>
  <c r="D54" i="27" s="1"/>
  <c r="D221" i="6" s="1"/>
  <c r="F173" i="6"/>
  <c r="C43" i="27"/>
  <c r="C44" i="27" s="1"/>
  <c r="C47" i="27" s="1"/>
  <c r="C187" i="6" s="1"/>
  <c r="C188" i="6" s="1"/>
  <c r="C36" i="49" s="1"/>
  <c r="C66" i="49" s="1"/>
  <c r="C122" i="49" s="1"/>
  <c r="E177" i="6"/>
  <c r="D43" i="27"/>
  <c r="D44" i="27" s="1"/>
  <c r="D47" i="27" s="1"/>
  <c r="D187" i="6" s="1"/>
  <c r="E190" i="6"/>
  <c r="D202" i="6"/>
  <c r="D101" i="27" s="1"/>
  <c r="D102" i="27" s="1"/>
  <c r="F262" i="6"/>
  <c r="B92" i="27"/>
  <c r="B93" i="27" s="1"/>
  <c r="K24" i="43"/>
  <c r="M24" i="43" s="1"/>
  <c r="G133" i="6"/>
  <c r="G235" i="6"/>
  <c r="E96" i="6"/>
  <c r="E94" i="6"/>
  <c r="E91" i="6"/>
  <c r="C168" i="6"/>
  <c r="C94" i="27" s="1"/>
  <c r="C95" i="27" s="1"/>
  <c r="C51" i="6"/>
  <c r="C52" i="6" s="1"/>
  <c r="C33" i="49" s="1"/>
  <c r="C63" i="49" s="1"/>
  <c r="C119" i="49" s="1"/>
  <c r="B51" i="6"/>
  <c r="D16" i="22" s="1"/>
  <c r="D164" i="6"/>
  <c r="B82" i="27"/>
  <c r="G31" i="6"/>
  <c r="G218" i="6"/>
  <c r="C255" i="6"/>
  <c r="C256" i="6" s="1"/>
  <c r="C34" i="49" s="1"/>
  <c r="C64" i="49" s="1"/>
  <c r="C120" i="49" s="1"/>
  <c r="B255" i="6"/>
  <c r="H247" i="6"/>
  <c r="D59" i="27"/>
  <c r="D60" i="27" s="1"/>
  <c r="D58" i="27"/>
  <c r="F241" i="6"/>
  <c r="E253" i="6"/>
  <c r="E57" i="27" s="1"/>
  <c r="B17" i="6"/>
  <c r="B171" i="36" s="1"/>
  <c r="B206" i="36" s="1"/>
  <c r="G245" i="6"/>
  <c r="G48" i="6"/>
  <c r="H184" i="6" s="1"/>
  <c r="G252" i="6"/>
  <c r="F78" i="49"/>
  <c r="E84" i="49"/>
  <c r="E85" i="49" s="1"/>
  <c r="E16" i="49"/>
  <c r="E88" i="49" s="1"/>
  <c r="G14" i="49"/>
  <c r="F12" i="49"/>
  <c r="G77" i="49"/>
  <c r="B32" i="46"/>
  <c r="B53" i="46" s="1"/>
  <c r="B77" i="46" s="1"/>
  <c r="B10" i="46"/>
  <c r="O24" i="43"/>
  <c r="F77" i="46" s="1"/>
  <c r="E24" i="43"/>
  <c r="I24" i="43"/>
  <c r="C77" i="46" s="1"/>
  <c r="C87" i="27"/>
  <c r="C88" i="27" s="1"/>
  <c r="C89" i="27" s="1"/>
  <c r="D162" i="6"/>
  <c r="D10" i="27"/>
  <c r="D11" i="27" s="1"/>
  <c r="D12" i="27" s="1"/>
  <c r="D17" i="6" s="1"/>
  <c r="B89" i="27"/>
  <c r="B68" i="27"/>
  <c r="B34" i="6" s="1"/>
  <c r="C50" i="37"/>
  <c r="C53" i="37" s="1"/>
  <c r="E10" i="27"/>
  <c r="E11" i="27" s="1"/>
  <c r="B67" i="35"/>
  <c r="B70" i="35" s="1"/>
  <c r="D87" i="27"/>
  <c r="D88" i="27" s="1"/>
  <c r="B67" i="36"/>
  <c r="B70" i="36" s="1"/>
  <c r="L70" i="36" s="1"/>
  <c r="D6" i="13" s="1"/>
  <c r="C50" i="35"/>
  <c r="C53" i="35" s="1"/>
  <c r="B67" i="37"/>
  <c r="B70" i="37" s="1"/>
  <c r="B53" i="37"/>
  <c r="L53" i="37" s="1"/>
  <c r="E58" i="36"/>
  <c r="E75" i="36" s="1"/>
  <c r="E92" i="36" s="1"/>
  <c r="E109" i="36" s="1"/>
  <c r="E126" i="36" s="1"/>
  <c r="E143" i="36" s="1"/>
  <c r="E160" i="36" s="1"/>
  <c r="E178" i="36" s="1"/>
  <c r="F16" i="38"/>
  <c r="F16" i="35"/>
  <c r="F16" i="37"/>
  <c r="F16" i="36"/>
  <c r="F9" i="38"/>
  <c r="F26" i="38" s="1"/>
  <c r="F43" i="38" s="1"/>
  <c r="F60" i="38" s="1"/>
  <c r="F77" i="38" s="1"/>
  <c r="F9" i="36"/>
  <c r="F26" i="36" s="1"/>
  <c r="F43" i="36" s="1"/>
  <c r="F9" i="37"/>
  <c r="F26" i="37" s="1"/>
  <c r="F43" i="37" s="1"/>
  <c r="F60" i="37" s="1"/>
  <c r="F77" i="37" s="1"/>
  <c r="F94" i="37" s="1"/>
  <c r="F111" i="37" s="1"/>
  <c r="F128" i="37" s="1"/>
  <c r="F145" i="37" s="1"/>
  <c r="F162" i="37" s="1"/>
  <c r="F180" i="37" s="1"/>
  <c r="F9" i="35"/>
  <c r="F26" i="35" s="1"/>
  <c r="F43" i="35" s="1"/>
  <c r="F60" i="35" s="1"/>
  <c r="F77" i="35" s="1"/>
  <c r="F94" i="35" s="1"/>
  <c r="F111" i="35" s="1"/>
  <c r="F128" i="35" s="1"/>
  <c r="F145" i="35" s="1"/>
  <c r="F162" i="35" s="1"/>
  <c r="F180" i="35" s="1"/>
  <c r="E100" i="38"/>
  <c r="E117" i="38" s="1"/>
  <c r="E134" i="38" s="1"/>
  <c r="E151" i="38" s="1"/>
  <c r="E168" i="38" s="1"/>
  <c r="E186" i="38" s="1"/>
  <c r="E21" i="38"/>
  <c r="E33" i="38" s="1"/>
  <c r="E19" i="38"/>
  <c r="B72" i="37"/>
  <c r="E93" i="38"/>
  <c r="E110" i="38" s="1"/>
  <c r="E127" i="38" s="1"/>
  <c r="E144" i="38" s="1"/>
  <c r="E161" i="38" s="1"/>
  <c r="E179" i="38" s="1"/>
  <c r="D38" i="36"/>
  <c r="D50" i="36" s="1"/>
  <c r="D36" i="36"/>
  <c r="E62" i="36"/>
  <c r="E79" i="36" s="1"/>
  <c r="E96" i="36" s="1"/>
  <c r="E113" i="36" s="1"/>
  <c r="E130" i="36" s="1"/>
  <c r="E147" i="36" s="1"/>
  <c r="E164" i="36" s="1"/>
  <c r="E182" i="36" s="1"/>
  <c r="C55" i="37"/>
  <c r="F12" i="38"/>
  <c r="F29" i="38" s="1"/>
  <c r="F46" i="38" s="1"/>
  <c r="F63" i="38" s="1"/>
  <c r="F80" i="38" s="1"/>
  <c r="F12" i="37"/>
  <c r="F29" i="37" s="1"/>
  <c r="F46" i="37" s="1"/>
  <c r="F63" i="37" s="1"/>
  <c r="F80" i="37" s="1"/>
  <c r="F97" i="37" s="1"/>
  <c r="F114" i="37" s="1"/>
  <c r="F131" i="37" s="1"/>
  <c r="F148" i="37" s="1"/>
  <c r="F165" i="37" s="1"/>
  <c r="F183" i="37" s="1"/>
  <c r="F12" i="35"/>
  <c r="F29" i="35" s="1"/>
  <c r="F46" i="35" s="1"/>
  <c r="F63" i="35" s="1"/>
  <c r="F80" i="35" s="1"/>
  <c r="F97" i="35" s="1"/>
  <c r="F114" i="35" s="1"/>
  <c r="F131" i="35" s="1"/>
  <c r="F148" i="35" s="1"/>
  <c r="F165" i="35" s="1"/>
  <c r="F183" i="35" s="1"/>
  <c r="F12" i="36"/>
  <c r="F29" i="36" s="1"/>
  <c r="F46" i="36" s="1"/>
  <c r="E21" i="37"/>
  <c r="E19" i="37"/>
  <c r="D38" i="38"/>
  <c r="E83" i="6"/>
  <c r="E24" i="27" s="1"/>
  <c r="E25" i="27" s="1"/>
  <c r="E59" i="36"/>
  <c r="E76" i="36" s="1"/>
  <c r="E93" i="36" s="1"/>
  <c r="E110" i="36" s="1"/>
  <c r="E127" i="36" s="1"/>
  <c r="E144" i="36" s="1"/>
  <c r="E161" i="36" s="1"/>
  <c r="E179" i="36" s="1"/>
  <c r="C55" i="36"/>
  <c r="C67" i="36" s="1"/>
  <c r="C53" i="36"/>
  <c r="C55" i="38"/>
  <c r="F10" i="37"/>
  <c r="F27" i="37" s="1"/>
  <c r="F44" i="37" s="1"/>
  <c r="F61" i="37" s="1"/>
  <c r="F78" i="37" s="1"/>
  <c r="F95" i="37" s="1"/>
  <c r="F112" i="37" s="1"/>
  <c r="F129" i="37" s="1"/>
  <c r="F146" i="37" s="1"/>
  <c r="F163" i="37" s="1"/>
  <c r="F181" i="37" s="1"/>
  <c r="F10" i="36"/>
  <c r="F27" i="36" s="1"/>
  <c r="F44" i="36" s="1"/>
  <c r="F10" i="38"/>
  <c r="F27" i="38" s="1"/>
  <c r="F44" i="38" s="1"/>
  <c r="F61" i="38" s="1"/>
  <c r="F78" i="38" s="1"/>
  <c r="F95" i="38" s="1"/>
  <c r="F112" i="38" s="1"/>
  <c r="F129" i="38" s="1"/>
  <c r="F146" i="38" s="1"/>
  <c r="F163" i="38" s="1"/>
  <c r="F181" i="38" s="1"/>
  <c r="F10" i="35"/>
  <c r="F27" i="35" s="1"/>
  <c r="F44" i="35" s="1"/>
  <c r="F61" i="35" s="1"/>
  <c r="F78" i="35" s="1"/>
  <c r="F95" i="35" s="1"/>
  <c r="F112" i="35" s="1"/>
  <c r="F129" i="35" s="1"/>
  <c r="F146" i="35" s="1"/>
  <c r="F163" i="35" s="1"/>
  <c r="F181" i="35" s="1"/>
  <c r="N47" i="1"/>
  <c r="F15" i="37"/>
  <c r="F32" i="37" s="1"/>
  <c r="F49" i="37" s="1"/>
  <c r="F66" i="37" s="1"/>
  <c r="F83" i="37" s="1"/>
  <c r="F100" i="37" s="1"/>
  <c r="F117" i="37" s="1"/>
  <c r="F134" i="37" s="1"/>
  <c r="F151" i="37" s="1"/>
  <c r="F168" i="37" s="1"/>
  <c r="F186" i="37" s="1"/>
  <c r="F15" i="38"/>
  <c r="F32" i="38" s="1"/>
  <c r="F49" i="38" s="1"/>
  <c r="F66" i="38" s="1"/>
  <c r="F83" i="38" s="1"/>
  <c r="F15" i="35"/>
  <c r="F32" i="35" s="1"/>
  <c r="F49" i="35" s="1"/>
  <c r="F66" i="35" s="1"/>
  <c r="F83" i="35" s="1"/>
  <c r="F100" i="35" s="1"/>
  <c r="F117" i="35" s="1"/>
  <c r="F134" i="35" s="1"/>
  <c r="F151" i="35" s="1"/>
  <c r="F168" i="35" s="1"/>
  <c r="F186" i="35" s="1"/>
  <c r="F15" i="36"/>
  <c r="F32" i="36" s="1"/>
  <c r="F49" i="36" s="1"/>
  <c r="F66" i="36" s="1"/>
  <c r="F83" i="36" s="1"/>
  <c r="F100" i="36" s="1"/>
  <c r="F117" i="36" s="1"/>
  <c r="F134" i="36" s="1"/>
  <c r="F151" i="36" s="1"/>
  <c r="F168" i="36" s="1"/>
  <c r="F186" i="36" s="1"/>
  <c r="D100" i="6"/>
  <c r="D80" i="27" s="1"/>
  <c r="D81" i="27" s="1"/>
  <c r="F6" i="37"/>
  <c r="F23" i="37" s="1"/>
  <c r="F40" i="37" s="1"/>
  <c r="F57" i="37" s="1"/>
  <c r="F74" i="37" s="1"/>
  <c r="F91" i="37" s="1"/>
  <c r="F108" i="37" s="1"/>
  <c r="F125" i="37" s="1"/>
  <c r="F142" i="37" s="1"/>
  <c r="F159" i="37" s="1"/>
  <c r="F177" i="37" s="1"/>
  <c r="F6" i="38"/>
  <c r="F23" i="38" s="1"/>
  <c r="F40" i="38" s="1"/>
  <c r="F57" i="38" s="1"/>
  <c r="F74" i="38" s="1"/>
  <c r="F91" i="38" s="1"/>
  <c r="F108" i="38" s="1"/>
  <c r="F125" i="38" s="1"/>
  <c r="F142" i="38" s="1"/>
  <c r="F159" i="38" s="1"/>
  <c r="F177" i="38" s="1"/>
  <c r="F6" i="36"/>
  <c r="F23" i="36" s="1"/>
  <c r="F40" i="36" s="1"/>
  <c r="F6" i="35"/>
  <c r="F23" i="35" s="1"/>
  <c r="F40" i="35" s="1"/>
  <c r="F57" i="35" s="1"/>
  <c r="F74" i="35" s="1"/>
  <c r="F91" i="35" s="1"/>
  <c r="F108" i="35" s="1"/>
  <c r="F125" i="35" s="1"/>
  <c r="F142" i="35" s="1"/>
  <c r="F159" i="35" s="1"/>
  <c r="F177" i="35" s="1"/>
  <c r="L168" i="6"/>
  <c r="B95" i="27"/>
  <c r="B96" i="27" s="1"/>
  <c r="K14" i="22"/>
  <c r="D38" i="37"/>
  <c r="D151" i="6"/>
  <c r="D38" i="27" s="1"/>
  <c r="D39" i="27" s="1"/>
  <c r="E64" i="36"/>
  <c r="E81" i="36" s="1"/>
  <c r="E98" i="36" s="1"/>
  <c r="E115" i="36" s="1"/>
  <c r="E132" i="36" s="1"/>
  <c r="E149" i="36" s="1"/>
  <c r="E166" i="36" s="1"/>
  <c r="E184" i="36" s="1"/>
  <c r="E56" i="36"/>
  <c r="E73" i="36" s="1"/>
  <c r="E90" i="36" s="1"/>
  <c r="E107" i="36" s="1"/>
  <c r="E124" i="36" s="1"/>
  <c r="E141" i="36" s="1"/>
  <c r="E158" i="36" s="1"/>
  <c r="E176" i="36" s="1"/>
  <c r="E49" i="6"/>
  <c r="E17" i="27" s="1"/>
  <c r="E18" i="27" s="1"/>
  <c r="D33" i="38"/>
  <c r="F13" i="37"/>
  <c r="F30" i="37" s="1"/>
  <c r="F47" i="37" s="1"/>
  <c r="F64" i="37" s="1"/>
  <c r="F81" i="37" s="1"/>
  <c r="F98" i="37" s="1"/>
  <c r="F115" i="37" s="1"/>
  <c r="F132" i="37" s="1"/>
  <c r="F149" i="37" s="1"/>
  <c r="F166" i="37" s="1"/>
  <c r="F184" i="37" s="1"/>
  <c r="F13" i="36"/>
  <c r="F30" i="36" s="1"/>
  <c r="F47" i="36" s="1"/>
  <c r="F13" i="38"/>
  <c r="F30" i="38" s="1"/>
  <c r="F47" i="38" s="1"/>
  <c r="F64" i="38" s="1"/>
  <c r="F81" i="38" s="1"/>
  <c r="F13" i="35"/>
  <c r="F30" i="35" s="1"/>
  <c r="F47" i="35" s="1"/>
  <c r="F64" i="35" s="1"/>
  <c r="F81" i="35" s="1"/>
  <c r="F98" i="35" s="1"/>
  <c r="F115" i="35" s="1"/>
  <c r="F132" i="35" s="1"/>
  <c r="F149" i="35" s="1"/>
  <c r="F166" i="35" s="1"/>
  <c r="F184" i="35" s="1"/>
  <c r="E97" i="38"/>
  <c r="E114" i="38" s="1"/>
  <c r="E131" i="38" s="1"/>
  <c r="E148" i="38" s="1"/>
  <c r="E165" i="38" s="1"/>
  <c r="E183" i="38" s="1"/>
  <c r="F8" i="38"/>
  <c r="F25" i="38" s="1"/>
  <c r="F42" i="38" s="1"/>
  <c r="F59" i="38" s="1"/>
  <c r="F76" i="38" s="1"/>
  <c r="F93" i="38" s="1"/>
  <c r="F110" i="38" s="1"/>
  <c r="F127" i="38" s="1"/>
  <c r="F144" i="38" s="1"/>
  <c r="F161" i="38" s="1"/>
  <c r="F179" i="38" s="1"/>
  <c r="F8" i="36"/>
  <c r="F25" i="36" s="1"/>
  <c r="F42" i="36" s="1"/>
  <c r="F8" i="35"/>
  <c r="F25" i="35" s="1"/>
  <c r="F42" i="35" s="1"/>
  <c r="F59" i="35" s="1"/>
  <c r="F76" i="35" s="1"/>
  <c r="F93" i="35" s="1"/>
  <c r="F110" i="35" s="1"/>
  <c r="F127" i="35" s="1"/>
  <c r="F144" i="35" s="1"/>
  <c r="F161" i="35" s="1"/>
  <c r="F179" i="35" s="1"/>
  <c r="F8" i="37"/>
  <c r="F25" i="37" s="1"/>
  <c r="F42" i="37" s="1"/>
  <c r="F59" i="37" s="1"/>
  <c r="F76" i="37" s="1"/>
  <c r="F93" i="37" s="1"/>
  <c r="F110" i="37" s="1"/>
  <c r="F127" i="37" s="1"/>
  <c r="F144" i="37" s="1"/>
  <c r="F161" i="37" s="1"/>
  <c r="F179" i="37" s="1"/>
  <c r="F4" i="38"/>
  <c r="F4" i="37"/>
  <c r="F4" i="35"/>
  <c r="F4" i="36"/>
  <c r="F14" i="37"/>
  <c r="F31" i="37" s="1"/>
  <c r="F48" i="37" s="1"/>
  <c r="F65" i="37" s="1"/>
  <c r="F82" i="37" s="1"/>
  <c r="F99" i="37" s="1"/>
  <c r="F116" i="37" s="1"/>
  <c r="F133" i="37" s="1"/>
  <c r="F150" i="37" s="1"/>
  <c r="F167" i="37" s="1"/>
  <c r="F185" i="37" s="1"/>
  <c r="F202" i="37" s="1"/>
  <c r="F14" i="38"/>
  <c r="F31" i="38" s="1"/>
  <c r="F48" i="38" s="1"/>
  <c r="F65" i="38" s="1"/>
  <c r="F82" i="38" s="1"/>
  <c r="F14" i="36"/>
  <c r="F31" i="36" s="1"/>
  <c r="F48" i="36" s="1"/>
  <c r="F65" i="36" s="1"/>
  <c r="F82" i="36" s="1"/>
  <c r="F99" i="36" s="1"/>
  <c r="F116" i="36" s="1"/>
  <c r="F133" i="36" s="1"/>
  <c r="F150" i="36" s="1"/>
  <c r="F167" i="36" s="1"/>
  <c r="F185" i="36" s="1"/>
  <c r="F202" i="36" s="1"/>
  <c r="F14" i="35"/>
  <c r="F31" i="35" s="1"/>
  <c r="F48" i="35" s="1"/>
  <c r="F65" i="35" s="1"/>
  <c r="F82" i="35" s="1"/>
  <c r="F99" i="35" s="1"/>
  <c r="F116" i="35" s="1"/>
  <c r="F133" i="35" s="1"/>
  <c r="F150" i="35" s="1"/>
  <c r="F167" i="35" s="1"/>
  <c r="F185" i="35" s="1"/>
  <c r="F202" i="35" s="1"/>
  <c r="D66" i="27"/>
  <c r="D67" i="27" s="1"/>
  <c r="C36" i="35"/>
  <c r="E99" i="38"/>
  <c r="E116" i="38" s="1"/>
  <c r="E133" i="38" s="1"/>
  <c r="E150" i="38" s="1"/>
  <c r="E167" i="38" s="1"/>
  <c r="E185" i="38" s="1"/>
  <c r="E202" i="38" s="1"/>
  <c r="L53" i="38"/>
  <c r="C5" i="13" s="1"/>
  <c r="C29" i="13" s="1"/>
  <c r="D38" i="35"/>
  <c r="D50" i="35" s="1"/>
  <c r="D36" i="35"/>
  <c r="B72" i="36"/>
  <c r="C30" i="13"/>
  <c r="E21" i="35"/>
  <c r="E33" i="35" s="1"/>
  <c r="E19" i="35"/>
  <c r="C36" i="37"/>
  <c r="F139" i="6"/>
  <c r="F11" i="37"/>
  <c r="F28" i="37" s="1"/>
  <c r="F45" i="37" s="1"/>
  <c r="F62" i="37" s="1"/>
  <c r="F79" i="37" s="1"/>
  <c r="F96" i="37" s="1"/>
  <c r="F113" i="37" s="1"/>
  <c r="F130" i="37" s="1"/>
  <c r="F147" i="37" s="1"/>
  <c r="F164" i="37" s="1"/>
  <c r="F182" i="37" s="1"/>
  <c r="F11" i="38"/>
  <c r="F28" i="38" s="1"/>
  <c r="F45" i="38" s="1"/>
  <c r="F62" i="38" s="1"/>
  <c r="F79" i="38" s="1"/>
  <c r="F11" i="36"/>
  <c r="F28" i="36" s="1"/>
  <c r="F45" i="36" s="1"/>
  <c r="F62" i="36" s="1"/>
  <c r="F79" i="36" s="1"/>
  <c r="F96" i="36" s="1"/>
  <c r="F113" i="36" s="1"/>
  <c r="F130" i="36" s="1"/>
  <c r="F147" i="36" s="1"/>
  <c r="F164" i="36" s="1"/>
  <c r="F182" i="36" s="1"/>
  <c r="F11" i="35"/>
  <c r="F28" i="35" s="1"/>
  <c r="F45" i="35" s="1"/>
  <c r="F62" i="35" s="1"/>
  <c r="F79" i="35" s="1"/>
  <c r="F96" i="35" s="1"/>
  <c r="F113" i="35" s="1"/>
  <c r="F130" i="35" s="1"/>
  <c r="F147" i="35" s="1"/>
  <c r="F164" i="35" s="1"/>
  <c r="F182" i="35" s="1"/>
  <c r="F7" i="37"/>
  <c r="F24" i="37" s="1"/>
  <c r="F41" i="37" s="1"/>
  <c r="F58" i="37" s="1"/>
  <c r="F75" i="37" s="1"/>
  <c r="F92" i="37" s="1"/>
  <c r="F109" i="37" s="1"/>
  <c r="F126" i="37" s="1"/>
  <c r="F143" i="37" s="1"/>
  <c r="F160" i="37" s="1"/>
  <c r="F178" i="37" s="1"/>
  <c r="F7" i="38"/>
  <c r="F24" i="38" s="1"/>
  <c r="F41" i="38" s="1"/>
  <c r="F58" i="38" s="1"/>
  <c r="F75" i="38" s="1"/>
  <c r="F7" i="35"/>
  <c r="F24" i="35" s="1"/>
  <c r="F41" i="35" s="1"/>
  <c r="F58" i="35" s="1"/>
  <c r="F75" i="35" s="1"/>
  <c r="F92" i="35" s="1"/>
  <c r="F109" i="35" s="1"/>
  <c r="F126" i="35" s="1"/>
  <c r="F143" i="35" s="1"/>
  <c r="F160" i="35" s="1"/>
  <c r="F178" i="35" s="1"/>
  <c r="F7" i="36"/>
  <c r="F24" i="36" s="1"/>
  <c r="F41" i="36" s="1"/>
  <c r="C55" i="35"/>
  <c r="E95" i="38"/>
  <c r="E112" i="38" s="1"/>
  <c r="E129" i="38" s="1"/>
  <c r="E146" i="38" s="1"/>
  <c r="E163" i="38" s="1"/>
  <c r="E181" i="38" s="1"/>
  <c r="B72" i="38"/>
  <c r="E160" i="6"/>
  <c r="E98" i="38"/>
  <c r="E115" i="38" s="1"/>
  <c r="E132" i="38" s="1"/>
  <c r="E149" i="38" s="1"/>
  <c r="E166" i="38" s="1"/>
  <c r="E184" i="38" s="1"/>
  <c r="E90" i="38"/>
  <c r="E107" i="38" s="1"/>
  <c r="E124" i="38" s="1"/>
  <c r="E141" i="38" s="1"/>
  <c r="E158" i="38" s="1"/>
  <c r="E176" i="38" s="1"/>
  <c r="E63" i="36"/>
  <c r="E80" i="36" s="1"/>
  <c r="E97" i="36" s="1"/>
  <c r="E114" i="36" s="1"/>
  <c r="E131" i="36" s="1"/>
  <c r="E148" i="36" s="1"/>
  <c r="E165" i="36" s="1"/>
  <c r="E183" i="36" s="1"/>
  <c r="E54" i="6"/>
  <c r="D66" i="6"/>
  <c r="D73" i="27" s="1"/>
  <c r="D74" i="27" s="1"/>
  <c r="C50" i="38"/>
  <c r="B53" i="35"/>
  <c r="B67" i="38"/>
  <c r="B70" i="38" s="1"/>
  <c r="L70" i="38" s="1"/>
  <c r="C6" i="13" s="1"/>
  <c r="C28" i="13" s="1"/>
  <c r="E57" i="36"/>
  <c r="E74" i="36" s="1"/>
  <c r="E91" i="36" s="1"/>
  <c r="E108" i="36" s="1"/>
  <c r="E125" i="36" s="1"/>
  <c r="E142" i="36" s="1"/>
  <c r="E159" i="36" s="1"/>
  <c r="E177" i="36" s="1"/>
  <c r="F5" i="37"/>
  <c r="F22" i="37" s="1"/>
  <c r="F39" i="37" s="1"/>
  <c r="F56" i="37" s="1"/>
  <c r="F73" i="37" s="1"/>
  <c r="F90" i="37" s="1"/>
  <c r="F107" i="37" s="1"/>
  <c r="F124" i="37" s="1"/>
  <c r="F141" i="37" s="1"/>
  <c r="F158" i="37" s="1"/>
  <c r="F176" i="37" s="1"/>
  <c r="F5" i="36"/>
  <c r="F22" i="36" s="1"/>
  <c r="F39" i="36" s="1"/>
  <c r="F5" i="38"/>
  <c r="F22" i="38" s="1"/>
  <c r="F39" i="38" s="1"/>
  <c r="F56" i="38" s="1"/>
  <c r="F73" i="38" s="1"/>
  <c r="F5" i="35"/>
  <c r="F22" i="35" s="1"/>
  <c r="F39" i="35" s="1"/>
  <c r="F56" i="35" s="1"/>
  <c r="F73" i="35" s="1"/>
  <c r="F90" i="35" s="1"/>
  <c r="F107" i="35" s="1"/>
  <c r="F124" i="35" s="1"/>
  <c r="F141" i="35" s="1"/>
  <c r="F158" i="35" s="1"/>
  <c r="F176" i="35" s="1"/>
  <c r="E21" i="36"/>
  <c r="E38" i="36" s="1"/>
  <c r="E19" i="36"/>
  <c r="B72" i="35"/>
  <c r="D33" i="37"/>
  <c r="B206" i="37"/>
  <c r="B189" i="37"/>
  <c r="E91" i="38"/>
  <c r="E108" i="38" s="1"/>
  <c r="E125" i="38" s="1"/>
  <c r="E142" i="38" s="1"/>
  <c r="E159" i="38" s="1"/>
  <c r="E177" i="38" s="1"/>
  <c r="B40" i="27"/>
  <c r="B153" i="6" s="1"/>
  <c r="B189" i="35" s="1"/>
  <c r="B206" i="35" s="1"/>
  <c r="C36" i="27"/>
  <c r="C37" i="27" s="1"/>
  <c r="C40" i="27" s="1"/>
  <c r="C153" i="6" s="1"/>
  <c r="C189" i="35" s="1"/>
  <c r="C206" i="35" s="1"/>
  <c r="E92" i="6"/>
  <c r="D15" i="27"/>
  <c r="D16" i="27" s="1"/>
  <c r="D19" i="27" s="1"/>
  <c r="D222" i="6" s="1"/>
  <c r="D35" i="49" s="1"/>
  <c r="D65" i="49" s="1"/>
  <c r="D121" i="49" s="1"/>
  <c r="C73" i="27"/>
  <c r="C74" i="27" s="1"/>
  <c r="C71" i="27"/>
  <c r="C72" i="27" s="1"/>
  <c r="B75" i="27"/>
  <c r="B68" i="6" s="1"/>
  <c r="F41" i="6"/>
  <c r="F49" i="6" s="1"/>
  <c r="F58" i="6"/>
  <c r="C29" i="27"/>
  <c r="C30" i="27" s="1"/>
  <c r="C33" i="27" s="1"/>
  <c r="C119" i="6" s="1"/>
  <c r="C171" i="37" s="1"/>
  <c r="C64" i="27"/>
  <c r="C65" i="27" s="1"/>
  <c r="C68" i="27" s="1"/>
  <c r="E143" i="6"/>
  <c r="E109" i="6"/>
  <c r="D29" i="27"/>
  <c r="D30" i="27" s="1"/>
  <c r="D33" i="27" s="1"/>
  <c r="D119" i="6" s="1"/>
  <c r="D171" i="37" s="1"/>
  <c r="E24" i="6"/>
  <c r="E32" i="6" s="1"/>
  <c r="D64" i="27"/>
  <c r="D65" i="27" s="1"/>
  <c r="D85" i="27"/>
  <c r="D86" i="27" s="1"/>
  <c r="D22" i="27"/>
  <c r="D23" i="27" s="1"/>
  <c r="D26" i="27" s="1"/>
  <c r="D85" i="6" s="1"/>
  <c r="D171" i="35" s="1"/>
  <c r="C78" i="27"/>
  <c r="C79" i="27" s="1"/>
  <c r="C82" i="27" s="1"/>
  <c r="F75" i="6"/>
  <c r="F7" i="6"/>
  <c r="F15" i="6" s="1"/>
  <c r="E8" i="27"/>
  <c r="E9" i="27" s="1"/>
  <c r="F99" i="6"/>
  <c r="E167" i="6"/>
  <c r="F115" i="6"/>
  <c r="F47" i="6"/>
  <c r="F30" i="6"/>
  <c r="F64" i="6"/>
  <c r="F98" i="6"/>
  <c r="F166" i="6" s="1"/>
  <c r="F13" i="6"/>
  <c r="F81" i="6"/>
  <c r="F149" i="6" s="1"/>
  <c r="F132" i="6"/>
  <c r="F200" i="6" s="1"/>
  <c r="D156" i="6"/>
  <c r="E88" i="6"/>
  <c r="F96" i="6"/>
  <c r="E164" i="6"/>
  <c r="F90" i="6"/>
  <c r="E158" i="6"/>
  <c r="F91" i="6"/>
  <c r="E159" i="6"/>
  <c r="F89" i="6"/>
  <c r="E157" i="6"/>
  <c r="F97" i="6"/>
  <c r="E165" i="6"/>
  <c r="F94" i="6"/>
  <c r="G95" i="6"/>
  <c r="F163" i="6"/>
  <c r="F93" i="6"/>
  <c r="E161" i="6"/>
  <c r="F74" i="6"/>
  <c r="E142" i="6"/>
  <c r="G79" i="6"/>
  <c r="F147" i="6"/>
  <c r="G78" i="6"/>
  <c r="F146" i="6"/>
  <c r="H72" i="6"/>
  <c r="G140" i="6"/>
  <c r="G73" i="6"/>
  <c r="F141" i="6"/>
  <c r="G77" i="6"/>
  <c r="F145" i="6"/>
  <c r="G80" i="6"/>
  <c r="F148" i="6"/>
  <c r="G61" i="6"/>
  <c r="G76" i="6"/>
  <c r="F144" i="6"/>
  <c r="F150" i="6"/>
  <c r="G122" i="6"/>
  <c r="G112" i="6"/>
  <c r="F108" i="6"/>
  <c r="F111" i="6"/>
  <c r="G113" i="6"/>
  <c r="F106" i="6"/>
  <c r="F107" i="6"/>
  <c r="F114" i="6"/>
  <c r="F110" i="6"/>
  <c r="O27" i="1"/>
  <c r="O36" i="1"/>
  <c r="F17" i="2"/>
  <c r="O24" i="1"/>
  <c r="O26" i="1"/>
  <c r="O22" i="1"/>
  <c r="O33" i="1"/>
  <c r="O34" i="1"/>
  <c r="O25" i="1"/>
  <c r="O29" i="1"/>
  <c r="O31" i="1"/>
  <c r="O28" i="1"/>
  <c r="O30" i="1"/>
  <c r="O23" i="1"/>
  <c r="O35" i="1"/>
  <c r="O32" i="1"/>
  <c r="P37" i="1"/>
  <c r="H3" i="49" s="1"/>
  <c r="F126" i="6"/>
  <c r="F134" i="6" s="1"/>
  <c r="G71" i="6"/>
  <c r="G37" i="6"/>
  <c r="G3" i="6"/>
  <c r="G20" i="6"/>
  <c r="Q53" i="1"/>
  <c r="Q45" i="1"/>
  <c r="G105" i="6"/>
  <c r="R12" i="1"/>
  <c r="R20" i="1" s="1"/>
  <c r="Q44" i="1"/>
  <c r="D113" i="27" l="1"/>
  <c r="D114" i="27" s="1"/>
  <c r="D117" i="27" s="1"/>
  <c r="D272" i="6" s="1"/>
  <c r="D106" i="27"/>
  <c r="D107" i="27" s="1"/>
  <c r="D110" i="27"/>
  <c r="D238" i="6" s="1"/>
  <c r="C117" i="27"/>
  <c r="C272" i="6" s="1"/>
  <c r="E50" i="27"/>
  <c r="E51" i="27" s="1"/>
  <c r="E52" i="27"/>
  <c r="E53" i="27" s="1"/>
  <c r="F190" i="6"/>
  <c r="E202" i="6"/>
  <c r="E101" i="27" s="1"/>
  <c r="E102" i="27" s="1"/>
  <c r="G207" i="6"/>
  <c r="F219" i="6"/>
  <c r="F228" i="6"/>
  <c r="G251" i="6"/>
  <c r="G268" i="6"/>
  <c r="G234" i="6"/>
  <c r="G183" i="6"/>
  <c r="G217" i="6"/>
  <c r="L53" i="35"/>
  <c r="B5" i="13" s="1"/>
  <c r="H5" i="13"/>
  <c r="F177" i="6"/>
  <c r="F185" i="6" s="1"/>
  <c r="F45" i="27" s="1"/>
  <c r="F46" i="27" s="1"/>
  <c r="D99" i="27"/>
  <c r="D100" i="27" s="1"/>
  <c r="D103" i="27" s="1"/>
  <c r="D204" i="6" s="1"/>
  <c r="F194" i="6"/>
  <c r="H6" i="13"/>
  <c r="C54" i="27"/>
  <c r="C221" i="6" s="1"/>
  <c r="C222" i="6" s="1"/>
  <c r="C35" i="49" s="1"/>
  <c r="C65" i="49" s="1"/>
  <c r="C121" i="49" s="1"/>
  <c r="G173" i="6"/>
  <c r="F224" i="6"/>
  <c r="E236" i="6"/>
  <c r="E108" i="27" s="1"/>
  <c r="E109" i="27" s="1"/>
  <c r="G262" i="6"/>
  <c r="E185" i="6"/>
  <c r="E45" i="27" s="1"/>
  <c r="E46" i="27" s="1"/>
  <c r="F258" i="6"/>
  <c r="E270" i="6"/>
  <c r="B256" i="6"/>
  <c r="P16" i="22"/>
  <c r="C102" i="6"/>
  <c r="C171" i="38" s="1"/>
  <c r="C273" i="6"/>
  <c r="C43" i="49" s="1"/>
  <c r="C73" i="49" s="1"/>
  <c r="C129" i="49" s="1"/>
  <c r="B273" i="6"/>
  <c r="B102" i="6"/>
  <c r="B171" i="38" s="1"/>
  <c r="C136" i="6"/>
  <c r="C137" i="6" s="1"/>
  <c r="C40" i="49" s="1"/>
  <c r="C70" i="49" s="1"/>
  <c r="C126" i="49" s="1"/>
  <c r="C239" i="6"/>
  <c r="C44" i="49" s="1"/>
  <c r="C74" i="49" s="1"/>
  <c r="C130" i="49" s="1"/>
  <c r="H133" i="6"/>
  <c r="H235" i="6"/>
  <c r="B239" i="6"/>
  <c r="B136" i="6"/>
  <c r="I16" i="22" s="1"/>
  <c r="C92" i="27"/>
  <c r="C93" i="27" s="1"/>
  <c r="C96" i="27" s="1"/>
  <c r="E162" i="6"/>
  <c r="B170" i="6"/>
  <c r="K16" i="22" s="1"/>
  <c r="B205" i="6"/>
  <c r="B189" i="36"/>
  <c r="B44" i="27"/>
  <c r="B46" i="27"/>
  <c r="B53" i="27"/>
  <c r="B54" i="27" s="1"/>
  <c r="B221" i="6" s="1"/>
  <c r="H31" i="6"/>
  <c r="H218" i="6"/>
  <c r="I247" i="6"/>
  <c r="H245" i="6"/>
  <c r="E59" i="27"/>
  <c r="E60" i="27" s="1"/>
  <c r="E58" i="27"/>
  <c r="G241" i="6"/>
  <c r="F253" i="6"/>
  <c r="F57" i="27" s="1"/>
  <c r="H48" i="6"/>
  <c r="I184" i="6" s="1"/>
  <c r="H252" i="6"/>
  <c r="D61" i="27"/>
  <c r="B52" i="6"/>
  <c r="G78" i="49"/>
  <c r="F84" i="49"/>
  <c r="F85" i="49" s="1"/>
  <c r="F16" i="49"/>
  <c r="F88" i="49" s="1"/>
  <c r="H14" i="49"/>
  <c r="G12" i="49"/>
  <c r="H77" i="49"/>
  <c r="C53" i="46"/>
  <c r="D77" i="46" s="1"/>
  <c r="G24" i="43"/>
  <c r="D168" i="6"/>
  <c r="D94" i="27" s="1"/>
  <c r="D95" i="27" s="1"/>
  <c r="E12" i="27"/>
  <c r="E17" i="6" s="1"/>
  <c r="E18" i="6" s="1"/>
  <c r="E18" i="49" s="1"/>
  <c r="E48" i="49" s="1"/>
  <c r="D89" i="27"/>
  <c r="E22" i="27"/>
  <c r="E23" i="27" s="1"/>
  <c r="E26" i="27" s="1"/>
  <c r="E85" i="6" s="1"/>
  <c r="C67" i="37"/>
  <c r="C70" i="37" s="1"/>
  <c r="B84" i="35"/>
  <c r="B87" i="35" s="1"/>
  <c r="D68" i="27"/>
  <c r="D34" i="6" s="1"/>
  <c r="E33" i="36"/>
  <c r="E36" i="36" s="1"/>
  <c r="B84" i="37"/>
  <c r="B87" i="37" s="1"/>
  <c r="L87" i="37" s="1"/>
  <c r="C67" i="35"/>
  <c r="C70" i="35" s="1"/>
  <c r="D51" i="6"/>
  <c r="D52" i="6" s="1"/>
  <c r="D33" i="49" s="1"/>
  <c r="D63" i="49" s="1"/>
  <c r="D119" i="49" s="1"/>
  <c r="C67" i="38"/>
  <c r="L70" i="37"/>
  <c r="D50" i="38"/>
  <c r="D53" i="38" s="1"/>
  <c r="L70" i="35"/>
  <c r="B6" i="13" s="1"/>
  <c r="B28" i="13" s="1"/>
  <c r="C34" i="6"/>
  <c r="E151" i="6"/>
  <c r="E36" i="27" s="1"/>
  <c r="E37" i="27" s="1"/>
  <c r="F83" i="6"/>
  <c r="F24" i="27" s="1"/>
  <c r="F25" i="27" s="1"/>
  <c r="D71" i="27"/>
  <c r="D72" i="27" s="1"/>
  <c r="D75" i="27" s="1"/>
  <c r="F19" i="36"/>
  <c r="F21" i="36"/>
  <c r="D55" i="37"/>
  <c r="F94" i="38"/>
  <c r="F111" i="38" s="1"/>
  <c r="F128" i="38" s="1"/>
  <c r="F145" i="38" s="1"/>
  <c r="F162" i="38" s="1"/>
  <c r="F180" i="38" s="1"/>
  <c r="G14" i="37"/>
  <c r="G31" i="37" s="1"/>
  <c r="G48" i="37" s="1"/>
  <c r="G65" i="37" s="1"/>
  <c r="G82" i="37" s="1"/>
  <c r="G99" i="37" s="1"/>
  <c r="G116" i="37" s="1"/>
  <c r="G133" i="37" s="1"/>
  <c r="G150" i="37" s="1"/>
  <c r="G167" i="37" s="1"/>
  <c r="G185" i="37" s="1"/>
  <c r="G202" i="37" s="1"/>
  <c r="G14" i="38"/>
  <c r="G31" i="38" s="1"/>
  <c r="G48" i="38" s="1"/>
  <c r="G65" i="38" s="1"/>
  <c r="G82" i="38" s="1"/>
  <c r="G14" i="36"/>
  <c r="G31" i="36" s="1"/>
  <c r="G48" i="36" s="1"/>
  <c r="G65" i="36" s="1"/>
  <c r="G82" i="36" s="1"/>
  <c r="G99" i="36" s="1"/>
  <c r="G116" i="36" s="1"/>
  <c r="G133" i="36" s="1"/>
  <c r="G150" i="36" s="1"/>
  <c r="G167" i="36" s="1"/>
  <c r="G185" i="36" s="1"/>
  <c r="G202" i="36" s="1"/>
  <c r="G14" i="35"/>
  <c r="G31" i="35" s="1"/>
  <c r="G48" i="35" s="1"/>
  <c r="G65" i="35" s="1"/>
  <c r="G82" i="35" s="1"/>
  <c r="G99" i="35" s="1"/>
  <c r="G116" i="35" s="1"/>
  <c r="G133" i="35" s="1"/>
  <c r="G150" i="35" s="1"/>
  <c r="G167" i="35" s="1"/>
  <c r="G185" i="35" s="1"/>
  <c r="G202" i="35" s="1"/>
  <c r="E117" i="6"/>
  <c r="E31" i="27" s="1"/>
  <c r="E32" i="27" s="1"/>
  <c r="F58" i="36"/>
  <c r="F75" i="36" s="1"/>
  <c r="F92" i="36" s="1"/>
  <c r="F109" i="36" s="1"/>
  <c r="F126" i="36" s="1"/>
  <c r="F143" i="36" s="1"/>
  <c r="F160" i="36" s="1"/>
  <c r="F178" i="36" s="1"/>
  <c r="F21" i="35"/>
  <c r="F19" i="35"/>
  <c r="E38" i="38"/>
  <c r="E50" i="38" s="1"/>
  <c r="E36" i="38"/>
  <c r="G16" i="38"/>
  <c r="G16" i="35"/>
  <c r="G16" i="37"/>
  <c r="G16" i="36"/>
  <c r="F160" i="6"/>
  <c r="F61" i="36"/>
  <c r="F78" i="36" s="1"/>
  <c r="F95" i="36" s="1"/>
  <c r="F112" i="36" s="1"/>
  <c r="F129" i="36" s="1"/>
  <c r="F146" i="36" s="1"/>
  <c r="F163" i="36" s="1"/>
  <c r="F181" i="36" s="1"/>
  <c r="G4" i="38"/>
  <c r="G4" i="37"/>
  <c r="G4" i="35"/>
  <c r="G4" i="36"/>
  <c r="B84" i="38"/>
  <c r="B89" i="38"/>
  <c r="F21" i="37"/>
  <c r="F33" i="37" s="1"/>
  <c r="F19" i="37"/>
  <c r="E66" i="6"/>
  <c r="E73" i="27" s="1"/>
  <c r="E74" i="27" s="1"/>
  <c r="F54" i="6"/>
  <c r="B89" i="36"/>
  <c r="G5" i="37"/>
  <c r="G22" i="37" s="1"/>
  <c r="G39" i="37" s="1"/>
  <c r="G56" i="37" s="1"/>
  <c r="G73" i="37" s="1"/>
  <c r="G90" i="37" s="1"/>
  <c r="G107" i="37" s="1"/>
  <c r="G124" i="37" s="1"/>
  <c r="G141" i="37" s="1"/>
  <c r="G158" i="37" s="1"/>
  <c r="G176" i="37" s="1"/>
  <c r="G5" i="36"/>
  <c r="G22" i="36" s="1"/>
  <c r="G39" i="36" s="1"/>
  <c r="G5" i="38"/>
  <c r="G22" i="38" s="1"/>
  <c r="G39" i="38" s="1"/>
  <c r="G56" i="38" s="1"/>
  <c r="G73" i="38" s="1"/>
  <c r="G90" i="38" s="1"/>
  <c r="G107" i="38" s="1"/>
  <c r="G124" i="38" s="1"/>
  <c r="G141" i="38" s="1"/>
  <c r="G158" i="38" s="1"/>
  <c r="G176" i="38" s="1"/>
  <c r="G5" i="35"/>
  <c r="G22" i="35" s="1"/>
  <c r="G39" i="35" s="1"/>
  <c r="G56" i="35" s="1"/>
  <c r="G73" i="35" s="1"/>
  <c r="G90" i="35" s="1"/>
  <c r="G107" i="35" s="1"/>
  <c r="G124" i="35" s="1"/>
  <c r="G141" i="35" s="1"/>
  <c r="G158" i="35" s="1"/>
  <c r="G176" i="35" s="1"/>
  <c r="G12" i="38"/>
  <c r="G29" i="38" s="1"/>
  <c r="G46" i="38" s="1"/>
  <c r="G63" i="38" s="1"/>
  <c r="G80" i="38" s="1"/>
  <c r="G12" i="35"/>
  <c r="G29" i="35" s="1"/>
  <c r="G46" i="35" s="1"/>
  <c r="G63" i="35" s="1"/>
  <c r="G80" i="35" s="1"/>
  <c r="G97" i="35" s="1"/>
  <c r="G114" i="35" s="1"/>
  <c r="G131" i="35" s="1"/>
  <c r="G148" i="35" s="1"/>
  <c r="G165" i="35" s="1"/>
  <c r="G183" i="35" s="1"/>
  <c r="G12" i="37"/>
  <c r="G29" i="37" s="1"/>
  <c r="G46" i="37" s="1"/>
  <c r="G63" i="37" s="1"/>
  <c r="G80" i="37" s="1"/>
  <c r="G97" i="37" s="1"/>
  <c r="G114" i="37" s="1"/>
  <c r="G131" i="37" s="1"/>
  <c r="G148" i="37" s="1"/>
  <c r="G165" i="37" s="1"/>
  <c r="G183" i="37" s="1"/>
  <c r="G12" i="36"/>
  <c r="G29" i="36" s="1"/>
  <c r="G46" i="36" s="1"/>
  <c r="G8" i="38"/>
  <c r="G25" i="38" s="1"/>
  <c r="G42" i="38" s="1"/>
  <c r="G59" i="38" s="1"/>
  <c r="G76" i="38" s="1"/>
  <c r="G8" i="37"/>
  <c r="G25" i="37" s="1"/>
  <c r="G42" i="37" s="1"/>
  <c r="G59" i="37" s="1"/>
  <c r="G76" i="37" s="1"/>
  <c r="G93" i="37" s="1"/>
  <c r="G110" i="37" s="1"/>
  <c r="G127" i="37" s="1"/>
  <c r="G144" i="37" s="1"/>
  <c r="G161" i="37" s="1"/>
  <c r="G179" i="37" s="1"/>
  <c r="G8" i="36"/>
  <c r="G25" i="36" s="1"/>
  <c r="G42" i="36" s="1"/>
  <c r="G8" i="35"/>
  <c r="G25" i="35" s="1"/>
  <c r="G42" i="35" s="1"/>
  <c r="G59" i="35" s="1"/>
  <c r="G76" i="35" s="1"/>
  <c r="G93" i="35" s="1"/>
  <c r="G110" i="35" s="1"/>
  <c r="G127" i="35" s="1"/>
  <c r="G144" i="35" s="1"/>
  <c r="G161" i="35" s="1"/>
  <c r="G179" i="35" s="1"/>
  <c r="E55" i="36"/>
  <c r="F92" i="38"/>
  <c r="F109" i="38" s="1"/>
  <c r="F126" i="38" s="1"/>
  <c r="F143" i="38" s="1"/>
  <c r="F160" i="38" s="1"/>
  <c r="F178" i="38" s="1"/>
  <c r="D55" i="35"/>
  <c r="D53" i="35"/>
  <c r="F19" i="38"/>
  <c r="F21" i="38"/>
  <c r="F100" i="38"/>
  <c r="F117" i="38" s="1"/>
  <c r="F134" i="38" s="1"/>
  <c r="F151" i="38" s="1"/>
  <c r="F168" i="38" s="1"/>
  <c r="F186" i="38" s="1"/>
  <c r="F63" i="36"/>
  <c r="F80" i="36" s="1"/>
  <c r="F97" i="36" s="1"/>
  <c r="F114" i="36" s="1"/>
  <c r="F131" i="36" s="1"/>
  <c r="F148" i="36" s="1"/>
  <c r="F165" i="36" s="1"/>
  <c r="F183" i="36" s="1"/>
  <c r="D55" i="36"/>
  <c r="D67" i="36" s="1"/>
  <c r="D53" i="36"/>
  <c r="G6" i="37"/>
  <c r="G23" i="37" s="1"/>
  <c r="G40" i="37" s="1"/>
  <c r="G57" i="37" s="1"/>
  <c r="G74" i="37" s="1"/>
  <c r="G91" i="37" s="1"/>
  <c r="G108" i="37" s="1"/>
  <c r="G125" i="37" s="1"/>
  <c r="G142" i="37" s="1"/>
  <c r="G159" i="37" s="1"/>
  <c r="G177" i="37" s="1"/>
  <c r="G6" i="38"/>
  <c r="G23" i="38" s="1"/>
  <c r="G40" i="38" s="1"/>
  <c r="G57" i="38" s="1"/>
  <c r="G74" i="38" s="1"/>
  <c r="G6" i="36"/>
  <c r="G23" i="36" s="1"/>
  <c r="G40" i="36" s="1"/>
  <c r="G6" i="35"/>
  <c r="G23" i="35" s="1"/>
  <c r="G40" i="35" s="1"/>
  <c r="G57" i="35" s="1"/>
  <c r="G74" i="35" s="1"/>
  <c r="G91" i="35" s="1"/>
  <c r="G108" i="35" s="1"/>
  <c r="G125" i="35" s="1"/>
  <c r="G142" i="35" s="1"/>
  <c r="G159" i="35" s="1"/>
  <c r="G177" i="35" s="1"/>
  <c r="B84" i="36"/>
  <c r="C53" i="38"/>
  <c r="D36" i="38"/>
  <c r="G10" i="37"/>
  <c r="G27" i="37" s="1"/>
  <c r="G44" i="37" s="1"/>
  <c r="G61" i="37" s="1"/>
  <c r="G78" i="37" s="1"/>
  <c r="G95" i="37" s="1"/>
  <c r="G112" i="37" s="1"/>
  <c r="G129" i="37" s="1"/>
  <c r="G146" i="37" s="1"/>
  <c r="G163" i="37" s="1"/>
  <c r="G181" i="37" s="1"/>
  <c r="G10" i="36"/>
  <c r="G27" i="36" s="1"/>
  <c r="G44" i="36" s="1"/>
  <c r="G61" i="36" s="1"/>
  <c r="G78" i="36" s="1"/>
  <c r="G95" i="36" s="1"/>
  <c r="G112" i="36" s="1"/>
  <c r="G129" i="36" s="1"/>
  <c r="G146" i="36" s="1"/>
  <c r="G163" i="36" s="1"/>
  <c r="G181" i="36" s="1"/>
  <c r="G10" i="38"/>
  <c r="G27" i="38" s="1"/>
  <c r="G44" i="38" s="1"/>
  <c r="G61" i="38" s="1"/>
  <c r="G78" i="38" s="1"/>
  <c r="G95" i="38" s="1"/>
  <c r="G112" i="38" s="1"/>
  <c r="G129" i="38" s="1"/>
  <c r="G146" i="38" s="1"/>
  <c r="G163" i="38" s="1"/>
  <c r="G181" i="38" s="1"/>
  <c r="G10" i="35"/>
  <c r="G27" i="35" s="1"/>
  <c r="G44" i="35" s="1"/>
  <c r="G61" i="35" s="1"/>
  <c r="G78" i="35" s="1"/>
  <c r="G95" i="35" s="1"/>
  <c r="G112" i="35" s="1"/>
  <c r="G129" i="35" s="1"/>
  <c r="G146" i="35" s="1"/>
  <c r="G163" i="35" s="1"/>
  <c r="G181" i="35" s="1"/>
  <c r="G13" i="37"/>
  <c r="G30" i="37" s="1"/>
  <c r="G47" i="37" s="1"/>
  <c r="G64" i="37" s="1"/>
  <c r="G81" i="37" s="1"/>
  <c r="G98" i="37" s="1"/>
  <c r="G115" i="37" s="1"/>
  <c r="G132" i="37" s="1"/>
  <c r="G149" i="37" s="1"/>
  <c r="G166" i="37" s="1"/>
  <c r="G184" i="37" s="1"/>
  <c r="G13" i="36"/>
  <c r="G30" i="36" s="1"/>
  <c r="G47" i="36" s="1"/>
  <c r="G13" i="35"/>
  <c r="G30" i="35" s="1"/>
  <c r="G47" i="35" s="1"/>
  <c r="G64" i="35" s="1"/>
  <c r="G81" i="35" s="1"/>
  <c r="G98" i="35" s="1"/>
  <c r="G115" i="35" s="1"/>
  <c r="G132" i="35" s="1"/>
  <c r="G149" i="35" s="1"/>
  <c r="G166" i="35" s="1"/>
  <c r="G184" i="35" s="1"/>
  <c r="G13" i="38"/>
  <c r="G30" i="38" s="1"/>
  <c r="G47" i="38" s="1"/>
  <c r="G64" i="38" s="1"/>
  <c r="G81" i="38" s="1"/>
  <c r="G98" i="38" s="1"/>
  <c r="G115" i="38" s="1"/>
  <c r="G132" i="38" s="1"/>
  <c r="G149" i="38" s="1"/>
  <c r="G166" i="38" s="1"/>
  <c r="G184" i="38" s="1"/>
  <c r="F10" i="27"/>
  <c r="F11" i="27" s="1"/>
  <c r="C171" i="36"/>
  <c r="D50" i="37"/>
  <c r="B29" i="13"/>
  <c r="F5" i="13"/>
  <c r="E38" i="35"/>
  <c r="E36" i="35"/>
  <c r="F98" i="38"/>
  <c r="F115" i="38" s="1"/>
  <c r="F132" i="38" s="1"/>
  <c r="F149" i="38" s="1"/>
  <c r="F166" i="38" s="1"/>
  <c r="F184" i="38" s="1"/>
  <c r="F57" i="36"/>
  <c r="F74" i="36" s="1"/>
  <c r="F91" i="36" s="1"/>
  <c r="F108" i="36" s="1"/>
  <c r="F125" i="36" s="1"/>
  <c r="F142" i="36" s="1"/>
  <c r="F159" i="36" s="1"/>
  <c r="F177" i="36" s="1"/>
  <c r="C72" i="38"/>
  <c r="D55" i="38"/>
  <c r="C72" i="37"/>
  <c r="F90" i="38"/>
  <c r="F107" i="38" s="1"/>
  <c r="F124" i="38" s="1"/>
  <c r="F141" i="38" s="1"/>
  <c r="F158" i="38" s="1"/>
  <c r="F176" i="38" s="1"/>
  <c r="F99" i="38"/>
  <c r="F116" i="38" s="1"/>
  <c r="F133" i="38" s="1"/>
  <c r="F150" i="38" s="1"/>
  <c r="F167" i="38" s="1"/>
  <c r="F185" i="38" s="1"/>
  <c r="F202" i="38" s="1"/>
  <c r="F59" i="36"/>
  <c r="F76" i="36" s="1"/>
  <c r="F93" i="36" s="1"/>
  <c r="F110" i="36" s="1"/>
  <c r="F127" i="36" s="1"/>
  <c r="F144" i="36" s="1"/>
  <c r="F161" i="36" s="1"/>
  <c r="F179" i="36" s="1"/>
  <c r="F64" i="36"/>
  <c r="F81" i="36" s="1"/>
  <c r="F98" i="36" s="1"/>
  <c r="F115" i="36" s="1"/>
  <c r="F132" i="36" s="1"/>
  <c r="F149" i="36" s="1"/>
  <c r="F166" i="36" s="1"/>
  <c r="F184" i="36" s="1"/>
  <c r="F97" i="38"/>
  <c r="F114" i="38" s="1"/>
  <c r="F131" i="38" s="1"/>
  <c r="F148" i="38" s="1"/>
  <c r="F165" i="38" s="1"/>
  <c r="F183" i="38" s="1"/>
  <c r="G139" i="6"/>
  <c r="G11" i="37"/>
  <c r="G28" i="37" s="1"/>
  <c r="G45" i="37" s="1"/>
  <c r="G62" i="37" s="1"/>
  <c r="G79" i="37" s="1"/>
  <c r="G96" i="37" s="1"/>
  <c r="G113" i="37" s="1"/>
  <c r="G130" i="37" s="1"/>
  <c r="G147" i="37" s="1"/>
  <c r="G164" i="37" s="1"/>
  <c r="G182" i="37" s="1"/>
  <c r="G11" i="38"/>
  <c r="G28" i="38" s="1"/>
  <c r="G45" i="38" s="1"/>
  <c r="G62" i="38" s="1"/>
  <c r="G79" i="38" s="1"/>
  <c r="G11" i="36"/>
  <c r="G28" i="36" s="1"/>
  <c r="G45" i="36" s="1"/>
  <c r="G11" i="35"/>
  <c r="G28" i="35" s="1"/>
  <c r="G45" i="35" s="1"/>
  <c r="G62" i="35" s="1"/>
  <c r="G79" i="35" s="1"/>
  <c r="G96" i="35" s="1"/>
  <c r="G113" i="35" s="1"/>
  <c r="G130" i="35" s="1"/>
  <c r="G147" i="35" s="1"/>
  <c r="G164" i="35" s="1"/>
  <c r="G182" i="35" s="1"/>
  <c r="O47" i="1"/>
  <c r="G15" i="37"/>
  <c r="G32" i="37" s="1"/>
  <c r="G49" i="37" s="1"/>
  <c r="G66" i="37" s="1"/>
  <c r="G83" i="37" s="1"/>
  <c r="G100" i="37" s="1"/>
  <c r="G117" i="37" s="1"/>
  <c r="G134" i="37" s="1"/>
  <c r="G151" i="37" s="1"/>
  <c r="G168" i="37" s="1"/>
  <c r="G186" i="37" s="1"/>
  <c r="G15" i="38"/>
  <c r="G32" i="38" s="1"/>
  <c r="G49" i="38" s="1"/>
  <c r="G66" i="38" s="1"/>
  <c r="G83" i="38" s="1"/>
  <c r="G100" i="38" s="1"/>
  <c r="G117" i="38" s="1"/>
  <c r="G134" i="38" s="1"/>
  <c r="G151" i="38" s="1"/>
  <c r="G168" i="38" s="1"/>
  <c r="G186" i="38" s="1"/>
  <c r="G15" i="35"/>
  <c r="G32" i="35" s="1"/>
  <c r="G49" i="35" s="1"/>
  <c r="G66" i="35" s="1"/>
  <c r="G83" i="35" s="1"/>
  <c r="G100" i="35" s="1"/>
  <c r="G117" i="35" s="1"/>
  <c r="G134" i="35" s="1"/>
  <c r="G151" i="35" s="1"/>
  <c r="G168" i="35" s="1"/>
  <c r="G186" i="35" s="1"/>
  <c r="G15" i="36"/>
  <c r="G32" i="36" s="1"/>
  <c r="G49" i="36" s="1"/>
  <c r="G66" i="36" s="1"/>
  <c r="G83" i="36" s="1"/>
  <c r="G100" i="36" s="1"/>
  <c r="G117" i="36" s="1"/>
  <c r="G134" i="36" s="1"/>
  <c r="G151" i="36" s="1"/>
  <c r="G168" i="36" s="1"/>
  <c r="G186" i="36" s="1"/>
  <c r="G7" i="37"/>
  <c r="G24" i="37" s="1"/>
  <c r="G41" i="37" s="1"/>
  <c r="G58" i="37" s="1"/>
  <c r="G75" i="37" s="1"/>
  <c r="G92" i="37" s="1"/>
  <c r="G109" i="37" s="1"/>
  <c r="G126" i="37" s="1"/>
  <c r="G143" i="37" s="1"/>
  <c r="G160" i="37" s="1"/>
  <c r="G178" i="37" s="1"/>
  <c r="G7" i="38"/>
  <c r="G24" i="38" s="1"/>
  <c r="G41" i="38" s="1"/>
  <c r="G58" i="38" s="1"/>
  <c r="G75" i="38" s="1"/>
  <c r="G92" i="38" s="1"/>
  <c r="G109" i="38" s="1"/>
  <c r="G126" i="38" s="1"/>
  <c r="G143" i="38" s="1"/>
  <c r="G160" i="38" s="1"/>
  <c r="G178" i="38" s="1"/>
  <c r="G7" i="35"/>
  <c r="G24" i="35" s="1"/>
  <c r="G41" i="35" s="1"/>
  <c r="G58" i="35" s="1"/>
  <c r="G75" i="35" s="1"/>
  <c r="G92" i="35" s="1"/>
  <c r="G109" i="35" s="1"/>
  <c r="G126" i="35" s="1"/>
  <c r="G143" i="35" s="1"/>
  <c r="G160" i="35" s="1"/>
  <c r="G178" i="35" s="1"/>
  <c r="G7" i="36"/>
  <c r="G24" i="36" s="1"/>
  <c r="G41" i="36" s="1"/>
  <c r="G58" i="36" s="1"/>
  <c r="G75" i="36" s="1"/>
  <c r="G92" i="36" s="1"/>
  <c r="G109" i="36" s="1"/>
  <c r="G126" i="36" s="1"/>
  <c r="G143" i="36" s="1"/>
  <c r="G160" i="36" s="1"/>
  <c r="G178" i="36" s="1"/>
  <c r="G9" i="38"/>
  <c r="G26" i="38" s="1"/>
  <c r="G43" i="38" s="1"/>
  <c r="G60" i="38" s="1"/>
  <c r="G77" i="38" s="1"/>
  <c r="G94" i="38" s="1"/>
  <c r="G111" i="38" s="1"/>
  <c r="G128" i="38" s="1"/>
  <c r="G145" i="38" s="1"/>
  <c r="G162" i="38" s="1"/>
  <c r="G180" i="38" s="1"/>
  <c r="G9" i="36"/>
  <c r="G26" i="36" s="1"/>
  <c r="G43" i="36" s="1"/>
  <c r="G9" i="37"/>
  <c r="G26" i="37" s="1"/>
  <c r="G43" i="37" s="1"/>
  <c r="G60" i="37" s="1"/>
  <c r="G77" i="37" s="1"/>
  <c r="G94" i="37" s="1"/>
  <c r="G111" i="37" s="1"/>
  <c r="G128" i="37" s="1"/>
  <c r="G145" i="37" s="1"/>
  <c r="G162" i="37" s="1"/>
  <c r="G180" i="37" s="1"/>
  <c r="G9" i="35"/>
  <c r="G26" i="35" s="1"/>
  <c r="G43" i="35" s="1"/>
  <c r="G60" i="35" s="1"/>
  <c r="G77" i="35" s="1"/>
  <c r="G94" i="35" s="1"/>
  <c r="G111" i="35" s="1"/>
  <c r="G128" i="35" s="1"/>
  <c r="G145" i="35" s="1"/>
  <c r="G162" i="35" s="1"/>
  <c r="G180" i="35" s="1"/>
  <c r="E100" i="6"/>
  <c r="E78" i="27" s="1"/>
  <c r="E79" i="27" s="1"/>
  <c r="B89" i="35"/>
  <c r="F56" i="36"/>
  <c r="F73" i="36" s="1"/>
  <c r="F90" i="36" s="1"/>
  <c r="F107" i="36" s="1"/>
  <c r="F124" i="36" s="1"/>
  <c r="F141" i="36" s="1"/>
  <c r="F158" i="36" s="1"/>
  <c r="F176" i="36" s="1"/>
  <c r="C72" i="35"/>
  <c r="C89" i="35" s="1"/>
  <c r="F96" i="38"/>
  <c r="F113" i="38" s="1"/>
  <c r="F130" i="38" s="1"/>
  <c r="F147" i="38" s="1"/>
  <c r="F164" i="38" s="1"/>
  <c r="F182" i="38" s="1"/>
  <c r="D36" i="37"/>
  <c r="C72" i="36"/>
  <c r="C84" i="36" s="1"/>
  <c r="C70" i="36"/>
  <c r="E38" i="37"/>
  <c r="E33" i="37"/>
  <c r="B89" i="37"/>
  <c r="F60" i="36"/>
  <c r="F77" i="36" s="1"/>
  <c r="F94" i="36" s="1"/>
  <c r="F111" i="36" s="1"/>
  <c r="F128" i="36" s="1"/>
  <c r="F145" i="36" s="1"/>
  <c r="F162" i="36" s="1"/>
  <c r="F180" i="36" s="1"/>
  <c r="D78" i="27"/>
  <c r="D79" i="27" s="1"/>
  <c r="D82" i="27" s="1"/>
  <c r="E87" i="27"/>
  <c r="E88" i="27" s="1"/>
  <c r="C75" i="27"/>
  <c r="F109" i="6"/>
  <c r="E15" i="27"/>
  <c r="E16" i="27" s="1"/>
  <c r="E19" i="27" s="1"/>
  <c r="D36" i="27"/>
  <c r="D37" i="27" s="1"/>
  <c r="D40" i="27" s="1"/>
  <c r="D153" i="6" s="1"/>
  <c r="D189" i="35" s="1"/>
  <c r="D206" i="35" s="1"/>
  <c r="G41" i="6"/>
  <c r="G49" i="6" s="1"/>
  <c r="G7" i="6"/>
  <c r="G15" i="6" s="1"/>
  <c r="F8" i="27"/>
  <c r="F9" i="27" s="1"/>
  <c r="F143" i="6"/>
  <c r="G75" i="6"/>
  <c r="E85" i="27"/>
  <c r="E86" i="27" s="1"/>
  <c r="F24" i="6"/>
  <c r="F32" i="6" s="1"/>
  <c r="G58" i="6"/>
  <c r="F92" i="6"/>
  <c r="B154" i="6"/>
  <c r="B32" i="49" s="1"/>
  <c r="B62" i="49" s="1"/>
  <c r="B118" i="49" s="1"/>
  <c r="C154" i="6"/>
  <c r="C32" i="49" s="1"/>
  <c r="C62" i="49" s="1"/>
  <c r="C118" i="49" s="1"/>
  <c r="C18" i="6"/>
  <c r="C18" i="49" s="1"/>
  <c r="C48" i="49" s="1"/>
  <c r="D18" i="6"/>
  <c r="D18" i="49" s="1"/>
  <c r="D48" i="49" s="1"/>
  <c r="B120" i="6"/>
  <c r="D86" i="6"/>
  <c r="D30" i="49" s="1"/>
  <c r="D60" i="49" s="1"/>
  <c r="D116" i="49" s="1"/>
  <c r="C86" i="6"/>
  <c r="C30" i="49" s="1"/>
  <c r="C60" i="49" s="1"/>
  <c r="C116" i="49" s="1"/>
  <c r="B16" i="22"/>
  <c r="G115" i="6"/>
  <c r="G47" i="6"/>
  <c r="G98" i="6"/>
  <c r="G166" i="6" s="1"/>
  <c r="G30" i="6"/>
  <c r="G81" i="6"/>
  <c r="G149" i="6" s="1"/>
  <c r="G13" i="6"/>
  <c r="G132" i="6"/>
  <c r="G200" i="6" s="1"/>
  <c r="G64" i="6"/>
  <c r="G99" i="6"/>
  <c r="F167" i="6"/>
  <c r="E156" i="6"/>
  <c r="F88" i="6"/>
  <c r="G94" i="6"/>
  <c r="F162" i="6"/>
  <c r="G90" i="6"/>
  <c r="F158" i="6"/>
  <c r="G74" i="6"/>
  <c r="F142" i="6"/>
  <c r="G97" i="6"/>
  <c r="F165" i="6"/>
  <c r="G93" i="6"/>
  <c r="F161" i="6"/>
  <c r="G89" i="6"/>
  <c r="F157" i="6"/>
  <c r="H95" i="6"/>
  <c r="G163" i="6"/>
  <c r="G91" i="6"/>
  <c r="F159" i="6"/>
  <c r="G96" i="6"/>
  <c r="F164" i="6"/>
  <c r="H73" i="6"/>
  <c r="G141" i="6"/>
  <c r="H61" i="6"/>
  <c r="H80" i="6"/>
  <c r="G148" i="6"/>
  <c r="I72" i="6"/>
  <c r="H140" i="6"/>
  <c r="H77" i="6"/>
  <c r="G145" i="6"/>
  <c r="H78" i="6"/>
  <c r="G146" i="6"/>
  <c r="H76" i="6"/>
  <c r="G144" i="6"/>
  <c r="H79" i="6"/>
  <c r="G147" i="6"/>
  <c r="G150" i="6"/>
  <c r="B103" i="6"/>
  <c r="B39" i="49" s="1"/>
  <c r="B69" i="49" s="1"/>
  <c r="B125" i="49" s="1"/>
  <c r="G16" i="22"/>
  <c r="B35" i="6"/>
  <c r="B38" i="49" s="1"/>
  <c r="B68" i="49" s="1"/>
  <c r="B124" i="49" s="1"/>
  <c r="C16" i="22"/>
  <c r="B69" i="6"/>
  <c r="B42" i="49" s="1"/>
  <c r="B72" i="49" s="1"/>
  <c r="B128" i="49" s="1"/>
  <c r="E16" i="22"/>
  <c r="B86" i="6"/>
  <c r="F16" i="22"/>
  <c r="H122" i="6"/>
  <c r="G107" i="6"/>
  <c r="G111" i="6"/>
  <c r="G106" i="6"/>
  <c r="G110" i="6"/>
  <c r="G108" i="6"/>
  <c r="H113" i="6"/>
  <c r="G114" i="6"/>
  <c r="H112" i="6"/>
  <c r="Q37" i="1"/>
  <c r="P29" i="1"/>
  <c r="P36" i="1"/>
  <c r="P28" i="1"/>
  <c r="G17" i="2"/>
  <c r="P26" i="1"/>
  <c r="P25" i="1"/>
  <c r="P30" i="1"/>
  <c r="P32" i="1"/>
  <c r="P35" i="1"/>
  <c r="P27" i="1"/>
  <c r="P24" i="1"/>
  <c r="P31" i="1"/>
  <c r="P34" i="1"/>
  <c r="P22" i="1"/>
  <c r="P23" i="1"/>
  <c r="P33" i="1"/>
  <c r="G126" i="6"/>
  <c r="G134" i="6" s="1"/>
  <c r="F17" i="27"/>
  <c r="F18" i="27" s="1"/>
  <c r="H71" i="6"/>
  <c r="H3" i="6"/>
  <c r="R53" i="1"/>
  <c r="R45" i="1"/>
  <c r="H105" i="6"/>
  <c r="H37" i="6"/>
  <c r="H20" i="6"/>
  <c r="S12" i="1"/>
  <c r="S20" i="1" s="1"/>
  <c r="R44" i="1"/>
  <c r="E99" i="27" l="1"/>
  <c r="E100" i="27" s="1"/>
  <c r="E103" i="27" s="1"/>
  <c r="E204" i="6" s="1"/>
  <c r="L87" i="35"/>
  <c r="B7" i="13" s="1"/>
  <c r="H7" i="13"/>
  <c r="G258" i="6"/>
  <c r="F270" i="6"/>
  <c r="F115" i="27" s="1"/>
  <c r="F116" i="27" s="1"/>
  <c r="G228" i="6"/>
  <c r="O17" i="22"/>
  <c r="D34" i="5"/>
  <c r="B44" i="49"/>
  <c r="B74" i="49" s="1"/>
  <c r="B130" i="49" s="1"/>
  <c r="F50" i="27"/>
  <c r="F51" i="27" s="1"/>
  <c r="F52" i="27"/>
  <c r="F53" i="27" s="1"/>
  <c r="H207" i="6"/>
  <c r="G219" i="6"/>
  <c r="P17" i="22"/>
  <c r="C39" i="5"/>
  <c r="H262" i="6"/>
  <c r="G194" i="6"/>
  <c r="B30" i="49"/>
  <c r="B60" i="49" s="1"/>
  <c r="B116" i="49" s="1"/>
  <c r="K7" i="43"/>
  <c r="C14" i="5"/>
  <c r="B31" i="49"/>
  <c r="B61" i="49" s="1"/>
  <c r="B117" i="49" s="1"/>
  <c r="C19" i="5"/>
  <c r="O7" i="43"/>
  <c r="M17" i="22"/>
  <c r="D29" i="5"/>
  <c r="B45" i="49"/>
  <c r="B75" i="49" s="1"/>
  <c r="B131" i="49" s="1"/>
  <c r="G190" i="6"/>
  <c r="F202" i="6"/>
  <c r="F101" i="27" s="1"/>
  <c r="F102" i="27" s="1"/>
  <c r="F236" i="6"/>
  <c r="F108" i="27" s="1"/>
  <c r="F109" i="27" s="1"/>
  <c r="G224" i="6"/>
  <c r="H251" i="6"/>
  <c r="H234" i="6"/>
  <c r="H268" i="6"/>
  <c r="H217" i="6"/>
  <c r="H183" i="6"/>
  <c r="B33" i="49"/>
  <c r="B63" i="49" s="1"/>
  <c r="B119" i="49" s="1"/>
  <c r="I7" i="43"/>
  <c r="C9" i="5"/>
  <c r="C11" i="5" s="1"/>
  <c r="H173" i="6"/>
  <c r="E43" i="27"/>
  <c r="E44" i="27" s="1"/>
  <c r="E47" i="27" s="1"/>
  <c r="E187" i="6" s="1"/>
  <c r="E54" i="27"/>
  <c r="E221" i="6" s="1"/>
  <c r="E222" i="6" s="1"/>
  <c r="E35" i="49" s="1"/>
  <c r="E65" i="49" s="1"/>
  <c r="E121" i="49" s="1"/>
  <c r="Q17" i="22"/>
  <c r="B43" i="49"/>
  <c r="B73" i="49" s="1"/>
  <c r="B129" i="49" s="1"/>
  <c r="D39" i="5"/>
  <c r="E115" i="27"/>
  <c r="E116" i="27" s="1"/>
  <c r="E113" i="27"/>
  <c r="E114" i="27" s="1"/>
  <c r="G177" i="6"/>
  <c r="F43" i="27"/>
  <c r="F44" i="27" s="1"/>
  <c r="F47" i="27" s="1"/>
  <c r="F187" i="6" s="1"/>
  <c r="E106" i="27"/>
  <c r="E107" i="27" s="1"/>
  <c r="E110" i="27" s="1"/>
  <c r="E238" i="6" s="1"/>
  <c r="B34" i="49"/>
  <c r="B64" i="49" s="1"/>
  <c r="B120" i="49" s="1"/>
  <c r="B222" i="6"/>
  <c r="B35" i="49" s="1"/>
  <c r="B65" i="49" s="1"/>
  <c r="B121" i="49" s="1"/>
  <c r="N16" i="22"/>
  <c r="C103" i="6"/>
  <c r="C39" i="49" s="1"/>
  <c r="C69" i="49" s="1"/>
  <c r="C125" i="49" s="1"/>
  <c r="B189" i="38"/>
  <c r="B206" i="38"/>
  <c r="B171" i="6"/>
  <c r="B41" i="49" s="1"/>
  <c r="B71" i="49" s="1"/>
  <c r="B127" i="49" s="1"/>
  <c r="D102" i="6"/>
  <c r="D103" i="6" s="1"/>
  <c r="D39" i="49" s="1"/>
  <c r="D69" i="49" s="1"/>
  <c r="D125" i="49" s="1"/>
  <c r="D273" i="6"/>
  <c r="D43" i="49" s="1"/>
  <c r="D73" i="49" s="1"/>
  <c r="D129" i="49" s="1"/>
  <c r="B137" i="6"/>
  <c r="B40" i="49" s="1"/>
  <c r="B70" i="49" s="1"/>
  <c r="B126" i="49" s="1"/>
  <c r="I133" i="6"/>
  <c r="I235" i="6"/>
  <c r="D136" i="6"/>
  <c r="D137" i="6" s="1"/>
  <c r="D40" i="49" s="1"/>
  <c r="D70" i="49" s="1"/>
  <c r="D126" i="49" s="1"/>
  <c r="D239" i="6"/>
  <c r="D44" i="49" s="1"/>
  <c r="D74" i="49" s="1"/>
  <c r="D130" i="49" s="1"/>
  <c r="C170" i="6"/>
  <c r="C171" i="6" s="1"/>
  <c r="C41" i="49" s="1"/>
  <c r="C71" i="49" s="1"/>
  <c r="C127" i="49" s="1"/>
  <c r="C205" i="6"/>
  <c r="C45" i="49" s="1"/>
  <c r="C75" i="49" s="1"/>
  <c r="C131" i="49" s="1"/>
  <c r="E168" i="6"/>
  <c r="E94" i="27" s="1"/>
  <c r="E95" i="27" s="1"/>
  <c r="E86" i="6"/>
  <c r="E30" i="49" s="1"/>
  <c r="E60" i="49" s="1"/>
  <c r="E116" i="49" s="1"/>
  <c r="E171" i="35"/>
  <c r="B47" i="27"/>
  <c r="B187" i="6" s="1"/>
  <c r="D92" i="27"/>
  <c r="D93" i="27" s="1"/>
  <c r="D96" i="27" s="1"/>
  <c r="I31" i="6"/>
  <c r="I218" i="6"/>
  <c r="D255" i="6"/>
  <c r="D256" i="6" s="1"/>
  <c r="D34" i="49" s="1"/>
  <c r="D64" i="49" s="1"/>
  <c r="D120" i="49" s="1"/>
  <c r="D188" i="6"/>
  <c r="D36" i="49" s="1"/>
  <c r="D66" i="49" s="1"/>
  <c r="D122" i="49" s="1"/>
  <c r="J247" i="6"/>
  <c r="D17" i="22"/>
  <c r="E61" i="27"/>
  <c r="D104" i="49"/>
  <c r="D91" i="49"/>
  <c r="C104" i="49"/>
  <c r="C91" i="49"/>
  <c r="E104" i="49"/>
  <c r="E91" i="49"/>
  <c r="F59" i="27"/>
  <c r="F60" i="27" s="1"/>
  <c r="F58" i="27"/>
  <c r="H241" i="6"/>
  <c r="G253" i="6"/>
  <c r="G57" i="27" s="1"/>
  <c r="I48" i="6"/>
  <c r="J184" i="6" s="1"/>
  <c r="I252" i="6"/>
  <c r="I245" i="6"/>
  <c r="H78" i="49"/>
  <c r="Q29" i="1"/>
  <c r="I11" i="35" s="1"/>
  <c r="I28" i="35" s="1"/>
  <c r="I45" i="35" s="1"/>
  <c r="I62" i="35" s="1"/>
  <c r="I79" i="35" s="1"/>
  <c r="I96" i="35" s="1"/>
  <c r="I113" i="35" s="1"/>
  <c r="I130" i="35" s="1"/>
  <c r="I147" i="35" s="1"/>
  <c r="I164" i="35" s="1"/>
  <c r="I182" i="35" s="1"/>
  <c r="I3" i="49"/>
  <c r="G84" i="49"/>
  <c r="G85" i="49" s="1"/>
  <c r="G16" i="49"/>
  <c r="G88" i="49" s="1"/>
  <c r="I14" i="49"/>
  <c r="H12" i="49"/>
  <c r="E50" i="36"/>
  <c r="E67" i="36" s="1"/>
  <c r="E70" i="36" s="1"/>
  <c r="E29" i="27"/>
  <c r="E30" i="27" s="1"/>
  <c r="E33" i="27" s="1"/>
  <c r="E119" i="6" s="1"/>
  <c r="D67" i="37"/>
  <c r="D70" i="37" s="1"/>
  <c r="C84" i="37"/>
  <c r="C87" i="37" s="1"/>
  <c r="B101" i="37"/>
  <c r="B104" i="37" s="1"/>
  <c r="L104" i="37" s="1"/>
  <c r="E38" i="27"/>
  <c r="E39" i="27" s="1"/>
  <c r="E40" i="27" s="1"/>
  <c r="E153" i="6" s="1"/>
  <c r="E189" i="35" s="1"/>
  <c r="E206" i="35" s="1"/>
  <c r="F12" i="27"/>
  <c r="F17" i="6" s="1"/>
  <c r="F18" i="6" s="1"/>
  <c r="F18" i="49" s="1"/>
  <c r="F48" i="49" s="1"/>
  <c r="C84" i="38"/>
  <c r="C87" i="38" s="1"/>
  <c r="C70" i="38"/>
  <c r="F151" i="6"/>
  <c r="F38" i="27" s="1"/>
  <c r="F39" i="27" s="1"/>
  <c r="F100" i="6"/>
  <c r="F78" i="27" s="1"/>
  <c r="F79" i="27" s="1"/>
  <c r="B101" i="38"/>
  <c r="B104" i="38" s="1"/>
  <c r="D35" i="6"/>
  <c r="D38" i="49" s="1"/>
  <c r="D68" i="49" s="1"/>
  <c r="D124" i="49" s="1"/>
  <c r="G17" i="27"/>
  <c r="G18" i="27" s="1"/>
  <c r="C189" i="38"/>
  <c r="C206" i="38"/>
  <c r="F87" i="27"/>
  <c r="F88" i="27" s="1"/>
  <c r="G10" i="27"/>
  <c r="G11" i="27" s="1"/>
  <c r="C68" i="6"/>
  <c r="C69" i="6" s="1"/>
  <c r="C42" i="49" s="1"/>
  <c r="C72" i="49" s="1"/>
  <c r="C128" i="49" s="1"/>
  <c r="D67" i="38"/>
  <c r="D70" i="38" s="1"/>
  <c r="C35" i="6"/>
  <c r="C38" i="49" s="1"/>
  <c r="C68" i="49" s="1"/>
  <c r="C124" i="49" s="1"/>
  <c r="E50" i="37"/>
  <c r="E53" i="37" s="1"/>
  <c r="B101" i="36"/>
  <c r="B104" i="36" s="1"/>
  <c r="D68" i="6"/>
  <c r="D69" i="6" s="1"/>
  <c r="D42" i="49" s="1"/>
  <c r="D72" i="49" s="1"/>
  <c r="D128" i="49" s="1"/>
  <c r="E51" i="6"/>
  <c r="E52" i="6" s="1"/>
  <c r="E33" i="49" s="1"/>
  <c r="E63" i="49" s="1"/>
  <c r="E119" i="49" s="1"/>
  <c r="E89" i="27"/>
  <c r="E71" i="27"/>
  <c r="E72" i="27" s="1"/>
  <c r="E75" i="27" s="1"/>
  <c r="D72" i="35"/>
  <c r="H5" i="37"/>
  <c r="H22" i="37" s="1"/>
  <c r="H39" i="37" s="1"/>
  <c r="H56" i="37" s="1"/>
  <c r="H73" i="37" s="1"/>
  <c r="H90" i="37" s="1"/>
  <c r="H107" i="37" s="1"/>
  <c r="H124" i="37" s="1"/>
  <c r="H141" i="37" s="1"/>
  <c r="H158" i="37" s="1"/>
  <c r="H176" i="37" s="1"/>
  <c r="H5" i="36"/>
  <c r="H22" i="36" s="1"/>
  <c r="H39" i="36" s="1"/>
  <c r="H5" i="38"/>
  <c r="H22" i="38" s="1"/>
  <c r="H39" i="38" s="1"/>
  <c r="H56" i="38" s="1"/>
  <c r="H73" i="38" s="1"/>
  <c r="H5" i="35"/>
  <c r="H22" i="35" s="1"/>
  <c r="H39" i="35" s="1"/>
  <c r="H56" i="35" s="1"/>
  <c r="H73" i="35" s="1"/>
  <c r="H90" i="35" s="1"/>
  <c r="H107" i="35" s="1"/>
  <c r="H124" i="35" s="1"/>
  <c r="H141" i="35" s="1"/>
  <c r="H158" i="35" s="1"/>
  <c r="H176" i="35" s="1"/>
  <c r="B106" i="35"/>
  <c r="G93" i="38"/>
  <c r="G110" i="38" s="1"/>
  <c r="G127" i="38" s="1"/>
  <c r="G144" i="38" s="1"/>
  <c r="G161" i="38" s="1"/>
  <c r="G179" i="38" s="1"/>
  <c r="G56" i="36"/>
  <c r="G73" i="36" s="1"/>
  <c r="G90" i="36" s="1"/>
  <c r="G107" i="36" s="1"/>
  <c r="G124" i="36" s="1"/>
  <c r="G141" i="36" s="1"/>
  <c r="G158" i="36" s="1"/>
  <c r="G176" i="36" s="1"/>
  <c r="G21" i="36"/>
  <c r="G33" i="36" s="1"/>
  <c r="G19" i="36"/>
  <c r="F38" i="36"/>
  <c r="F55" i="36" s="1"/>
  <c r="E55" i="35"/>
  <c r="G99" i="38"/>
  <c r="G116" i="38" s="1"/>
  <c r="G133" i="38" s="1"/>
  <c r="G150" i="38" s="1"/>
  <c r="G167" i="38" s="1"/>
  <c r="G185" i="38" s="1"/>
  <c r="G202" i="38" s="1"/>
  <c r="H139" i="6"/>
  <c r="H12" i="38"/>
  <c r="H29" i="38" s="1"/>
  <c r="H46" i="38" s="1"/>
  <c r="H63" i="38" s="1"/>
  <c r="H80" i="38" s="1"/>
  <c r="H97" i="38" s="1"/>
  <c r="H114" i="38" s="1"/>
  <c r="H131" i="38" s="1"/>
  <c r="H148" i="38" s="1"/>
  <c r="H165" i="38" s="1"/>
  <c r="H183" i="38" s="1"/>
  <c r="H12" i="36"/>
  <c r="H29" i="36" s="1"/>
  <c r="H46" i="36" s="1"/>
  <c r="H12" i="37"/>
  <c r="H29" i="37" s="1"/>
  <c r="H46" i="37" s="1"/>
  <c r="H63" i="37" s="1"/>
  <c r="H80" i="37" s="1"/>
  <c r="H97" i="37" s="1"/>
  <c r="H114" i="37" s="1"/>
  <c r="H131" i="37" s="1"/>
  <c r="H148" i="37" s="1"/>
  <c r="H165" i="37" s="1"/>
  <c r="H183" i="37" s="1"/>
  <c r="H12" i="35"/>
  <c r="H29" i="35" s="1"/>
  <c r="H46" i="35" s="1"/>
  <c r="H63" i="35" s="1"/>
  <c r="H80" i="35" s="1"/>
  <c r="H97" i="35" s="1"/>
  <c r="H114" i="35" s="1"/>
  <c r="H131" i="35" s="1"/>
  <c r="H148" i="35" s="1"/>
  <c r="H165" i="35" s="1"/>
  <c r="H183" i="35" s="1"/>
  <c r="H4" i="38"/>
  <c r="H4" i="36"/>
  <c r="H21" i="36" s="1"/>
  <c r="H4" i="35"/>
  <c r="H4" i="37"/>
  <c r="H7" i="38"/>
  <c r="H24" i="38" s="1"/>
  <c r="H41" i="38" s="1"/>
  <c r="H58" i="38" s="1"/>
  <c r="H75" i="38" s="1"/>
  <c r="H7" i="37"/>
  <c r="H24" i="37" s="1"/>
  <c r="H41" i="37" s="1"/>
  <c r="H58" i="37" s="1"/>
  <c r="H75" i="37" s="1"/>
  <c r="H92" i="37" s="1"/>
  <c r="H109" i="37" s="1"/>
  <c r="H126" i="37" s="1"/>
  <c r="H143" i="37" s="1"/>
  <c r="H160" i="37" s="1"/>
  <c r="H178" i="37" s="1"/>
  <c r="H7" i="35"/>
  <c r="H24" i="35" s="1"/>
  <c r="H41" i="35" s="1"/>
  <c r="H58" i="35" s="1"/>
  <c r="H75" i="35" s="1"/>
  <c r="H92" i="35" s="1"/>
  <c r="H109" i="35" s="1"/>
  <c r="H126" i="35" s="1"/>
  <c r="H143" i="35" s="1"/>
  <c r="H160" i="35" s="1"/>
  <c r="H178" i="35" s="1"/>
  <c r="H7" i="36"/>
  <c r="H24" i="36" s="1"/>
  <c r="H41" i="36" s="1"/>
  <c r="B106" i="37"/>
  <c r="B123" i="37" s="1"/>
  <c r="G62" i="36"/>
  <c r="G79" i="36" s="1"/>
  <c r="G96" i="36" s="1"/>
  <c r="G113" i="36" s="1"/>
  <c r="G130" i="36" s="1"/>
  <c r="G147" i="36" s="1"/>
  <c r="G164" i="36" s="1"/>
  <c r="G182" i="36" s="1"/>
  <c r="C89" i="38"/>
  <c r="G63" i="36"/>
  <c r="G80" i="36" s="1"/>
  <c r="G97" i="36" s="1"/>
  <c r="G114" i="36" s="1"/>
  <c r="G131" i="36" s="1"/>
  <c r="G148" i="36" s="1"/>
  <c r="G165" i="36" s="1"/>
  <c r="G183" i="36" s="1"/>
  <c r="F38" i="37"/>
  <c r="F50" i="37" s="1"/>
  <c r="F36" i="37"/>
  <c r="G21" i="35"/>
  <c r="G33" i="35" s="1"/>
  <c r="G19" i="35"/>
  <c r="F33" i="35"/>
  <c r="F38" i="35"/>
  <c r="B27" i="13"/>
  <c r="G160" i="6"/>
  <c r="G96" i="38"/>
  <c r="G113" i="38" s="1"/>
  <c r="G130" i="38" s="1"/>
  <c r="G147" i="38" s="1"/>
  <c r="G164" i="38" s="1"/>
  <c r="G182" i="38" s="1"/>
  <c r="G57" i="36"/>
  <c r="G74" i="36" s="1"/>
  <c r="G91" i="36" s="1"/>
  <c r="G108" i="36" s="1"/>
  <c r="G125" i="36" s="1"/>
  <c r="G142" i="36" s="1"/>
  <c r="G159" i="36" s="1"/>
  <c r="G177" i="36" s="1"/>
  <c r="B87" i="36"/>
  <c r="L87" i="36" s="1"/>
  <c r="G21" i="37"/>
  <c r="G19" i="37"/>
  <c r="D154" i="6"/>
  <c r="D32" i="49" s="1"/>
  <c r="D62" i="49" s="1"/>
  <c r="D118" i="49" s="1"/>
  <c r="D171" i="36"/>
  <c r="E55" i="37"/>
  <c r="C106" i="35"/>
  <c r="G91" i="38"/>
  <c r="G108" i="38" s="1"/>
  <c r="G125" i="38" s="1"/>
  <c r="G142" i="38" s="1"/>
  <c r="G159" i="38" s="1"/>
  <c r="G177" i="38" s="1"/>
  <c r="B106" i="36"/>
  <c r="B87" i="38"/>
  <c r="L87" i="38" s="1"/>
  <c r="C7" i="13" s="1"/>
  <c r="G19" i="38"/>
  <c r="G21" i="38"/>
  <c r="G38" i="38" s="1"/>
  <c r="H13" i="37"/>
  <c r="H30" i="37" s="1"/>
  <c r="H47" i="37" s="1"/>
  <c r="H64" i="37" s="1"/>
  <c r="H81" i="37" s="1"/>
  <c r="H98" i="37" s="1"/>
  <c r="H115" i="37" s="1"/>
  <c r="H132" i="37" s="1"/>
  <c r="H149" i="37" s="1"/>
  <c r="H166" i="37" s="1"/>
  <c r="H184" i="37" s="1"/>
  <c r="H13" i="36"/>
  <c r="H30" i="36" s="1"/>
  <c r="H47" i="36" s="1"/>
  <c r="H13" i="35"/>
  <c r="H30" i="35" s="1"/>
  <c r="H47" i="35" s="1"/>
  <c r="H64" i="35" s="1"/>
  <c r="H81" i="35" s="1"/>
  <c r="H98" i="35" s="1"/>
  <c r="H115" i="35" s="1"/>
  <c r="H132" i="35" s="1"/>
  <c r="H149" i="35" s="1"/>
  <c r="H166" i="35" s="1"/>
  <c r="H184" i="35" s="1"/>
  <c r="H13" i="38"/>
  <c r="H30" i="38" s="1"/>
  <c r="H47" i="38" s="1"/>
  <c r="H64" i="38" s="1"/>
  <c r="H81" i="38" s="1"/>
  <c r="H6" i="37"/>
  <c r="H23" i="37" s="1"/>
  <c r="H40" i="37" s="1"/>
  <c r="H57" i="37" s="1"/>
  <c r="H74" i="37" s="1"/>
  <c r="H91" i="37" s="1"/>
  <c r="H108" i="37" s="1"/>
  <c r="H125" i="37" s="1"/>
  <c r="H142" i="37" s="1"/>
  <c r="H159" i="37" s="1"/>
  <c r="H177" i="37" s="1"/>
  <c r="H6" i="38"/>
  <c r="H23" i="38" s="1"/>
  <c r="H40" i="38" s="1"/>
  <c r="H57" i="38" s="1"/>
  <c r="H74" i="38" s="1"/>
  <c r="H6" i="36"/>
  <c r="H6" i="35"/>
  <c r="H23" i="35" s="1"/>
  <c r="H40" i="35" s="1"/>
  <c r="H57" i="35" s="1"/>
  <c r="H74" i="35" s="1"/>
  <c r="H91" i="35" s="1"/>
  <c r="H108" i="35" s="1"/>
  <c r="H125" i="35" s="1"/>
  <c r="H142" i="35" s="1"/>
  <c r="H159" i="35" s="1"/>
  <c r="H177" i="35" s="1"/>
  <c r="H10" i="37"/>
  <c r="H27" i="37" s="1"/>
  <c r="H44" i="37" s="1"/>
  <c r="H61" i="37" s="1"/>
  <c r="H78" i="37" s="1"/>
  <c r="H95" i="37" s="1"/>
  <c r="H112" i="37" s="1"/>
  <c r="H129" i="37" s="1"/>
  <c r="H146" i="37" s="1"/>
  <c r="H163" i="37" s="1"/>
  <c r="H181" i="37" s="1"/>
  <c r="H10" i="38"/>
  <c r="H27" i="38" s="1"/>
  <c r="H44" i="38" s="1"/>
  <c r="H61" i="38" s="1"/>
  <c r="H78" i="38" s="1"/>
  <c r="H10" i="35"/>
  <c r="H27" i="35" s="1"/>
  <c r="H44" i="35" s="1"/>
  <c r="H61" i="35" s="1"/>
  <c r="H78" i="35" s="1"/>
  <c r="H95" i="35" s="1"/>
  <c r="H112" i="35" s="1"/>
  <c r="H129" i="35" s="1"/>
  <c r="H146" i="35" s="1"/>
  <c r="H163" i="35" s="1"/>
  <c r="H181" i="35" s="1"/>
  <c r="H10" i="36"/>
  <c r="H27" i="36" s="1"/>
  <c r="H44" i="36" s="1"/>
  <c r="E36" i="37"/>
  <c r="G60" i="36"/>
  <c r="G77" i="36" s="1"/>
  <c r="G94" i="36" s="1"/>
  <c r="G111" i="36" s="1"/>
  <c r="G128" i="36" s="1"/>
  <c r="G145" i="36" s="1"/>
  <c r="G162" i="36" s="1"/>
  <c r="G180" i="36" s="1"/>
  <c r="G83" i="6"/>
  <c r="G24" i="27" s="1"/>
  <c r="G25" i="27" s="1"/>
  <c r="C89" i="37"/>
  <c r="C189" i="37"/>
  <c r="C206" i="37"/>
  <c r="G64" i="36"/>
  <c r="G81" i="36" s="1"/>
  <c r="G98" i="36" s="1"/>
  <c r="G115" i="36" s="1"/>
  <c r="G132" i="36" s="1"/>
  <c r="G149" i="36" s="1"/>
  <c r="G166" i="36" s="1"/>
  <c r="G184" i="36" s="1"/>
  <c r="F33" i="38"/>
  <c r="F36" i="38" s="1"/>
  <c r="F38" i="38"/>
  <c r="E72" i="36"/>
  <c r="G97" i="38"/>
  <c r="G114" i="38" s="1"/>
  <c r="G131" i="38" s="1"/>
  <c r="G148" i="38" s="1"/>
  <c r="G165" i="38" s="1"/>
  <c r="G183" i="38" s="1"/>
  <c r="F66" i="6"/>
  <c r="G54" i="6"/>
  <c r="B106" i="38"/>
  <c r="F33" i="36"/>
  <c r="C84" i="35"/>
  <c r="B101" i="35"/>
  <c r="P47" i="1"/>
  <c r="H15" i="38"/>
  <c r="H32" i="38" s="1"/>
  <c r="H49" i="38" s="1"/>
  <c r="H66" i="38" s="1"/>
  <c r="H83" i="38" s="1"/>
  <c r="H15" i="37"/>
  <c r="H32" i="37" s="1"/>
  <c r="H49" i="37" s="1"/>
  <c r="H66" i="37" s="1"/>
  <c r="H83" i="37" s="1"/>
  <c r="H100" i="37" s="1"/>
  <c r="H117" i="37" s="1"/>
  <c r="H134" i="37" s="1"/>
  <c r="H151" i="37" s="1"/>
  <c r="H168" i="37" s="1"/>
  <c r="H186" i="37" s="1"/>
  <c r="H15" i="35"/>
  <c r="H32" i="35" s="1"/>
  <c r="H49" i="35" s="1"/>
  <c r="H66" i="35" s="1"/>
  <c r="H83" i="35" s="1"/>
  <c r="H100" i="35" s="1"/>
  <c r="H117" i="35" s="1"/>
  <c r="H134" i="35" s="1"/>
  <c r="H151" i="35" s="1"/>
  <c r="H168" i="35" s="1"/>
  <c r="H186" i="35" s="1"/>
  <c r="H15" i="36"/>
  <c r="H32" i="36" s="1"/>
  <c r="H49" i="36" s="1"/>
  <c r="H66" i="36" s="1"/>
  <c r="H83" i="36" s="1"/>
  <c r="H100" i="36" s="1"/>
  <c r="H117" i="36" s="1"/>
  <c r="H134" i="36" s="1"/>
  <c r="H151" i="36" s="1"/>
  <c r="H168" i="36" s="1"/>
  <c r="H186" i="36" s="1"/>
  <c r="C189" i="36"/>
  <c r="C206" i="36"/>
  <c r="D72" i="37"/>
  <c r="F117" i="6"/>
  <c r="F31" i="27" s="1"/>
  <c r="F32" i="27" s="1"/>
  <c r="H16" i="35"/>
  <c r="H16" i="37"/>
  <c r="H16" i="36"/>
  <c r="H16" i="38"/>
  <c r="H8" i="37"/>
  <c r="H25" i="37" s="1"/>
  <c r="H42" i="37" s="1"/>
  <c r="H59" i="37" s="1"/>
  <c r="H76" i="37" s="1"/>
  <c r="H93" i="37" s="1"/>
  <c r="H110" i="37" s="1"/>
  <c r="H127" i="37" s="1"/>
  <c r="H144" i="37" s="1"/>
  <c r="H161" i="37" s="1"/>
  <c r="H179" i="37" s="1"/>
  <c r="H8" i="36"/>
  <c r="H25" i="36" s="1"/>
  <c r="H42" i="36" s="1"/>
  <c r="H8" i="38"/>
  <c r="H25" i="38" s="1"/>
  <c r="H42" i="38" s="1"/>
  <c r="H59" i="38" s="1"/>
  <c r="H76" i="38" s="1"/>
  <c r="H93" i="38" s="1"/>
  <c r="H110" i="38" s="1"/>
  <c r="H127" i="38" s="1"/>
  <c r="H144" i="38" s="1"/>
  <c r="H161" i="38" s="1"/>
  <c r="H179" i="38" s="1"/>
  <c r="H8" i="35"/>
  <c r="H25" i="35" s="1"/>
  <c r="H42" i="35" s="1"/>
  <c r="H59" i="35" s="1"/>
  <c r="H76" i="35" s="1"/>
  <c r="H93" i="35" s="1"/>
  <c r="H110" i="35" s="1"/>
  <c r="H127" i="35" s="1"/>
  <c r="H144" i="35" s="1"/>
  <c r="H161" i="35" s="1"/>
  <c r="H179" i="35" s="1"/>
  <c r="H9" i="37"/>
  <c r="H26" i="37" s="1"/>
  <c r="H43" i="37" s="1"/>
  <c r="H60" i="37" s="1"/>
  <c r="H77" i="37" s="1"/>
  <c r="H94" i="37" s="1"/>
  <c r="H111" i="37" s="1"/>
  <c r="H128" i="37" s="1"/>
  <c r="H145" i="37" s="1"/>
  <c r="H162" i="37" s="1"/>
  <c r="H180" i="37" s="1"/>
  <c r="H9" i="38"/>
  <c r="H26" i="38" s="1"/>
  <c r="H43" i="38" s="1"/>
  <c r="H60" i="38" s="1"/>
  <c r="H77" i="38" s="1"/>
  <c r="H94" i="38" s="1"/>
  <c r="H111" i="38" s="1"/>
  <c r="H128" i="38" s="1"/>
  <c r="H145" i="38" s="1"/>
  <c r="H162" i="38" s="1"/>
  <c r="H180" i="38" s="1"/>
  <c r="H9" i="36"/>
  <c r="H26" i="36" s="1"/>
  <c r="H43" i="36" s="1"/>
  <c r="H60" i="36" s="1"/>
  <c r="H77" i="36" s="1"/>
  <c r="H94" i="36" s="1"/>
  <c r="H111" i="36" s="1"/>
  <c r="H128" i="36" s="1"/>
  <c r="H145" i="36" s="1"/>
  <c r="H162" i="36" s="1"/>
  <c r="H180" i="36" s="1"/>
  <c r="H9" i="35"/>
  <c r="H26" i="35" s="1"/>
  <c r="H43" i="35" s="1"/>
  <c r="H60" i="35" s="1"/>
  <c r="H77" i="35" s="1"/>
  <c r="H94" i="35" s="1"/>
  <c r="H111" i="35" s="1"/>
  <c r="H128" i="35" s="1"/>
  <c r="H145" i="35" s="1"/>
  <c r="H162" i="35" s="1"/>
  <c r="H180" i="35" s="1"/>
  <c r="H14" i="37"/>
  <c r="H31" i="37" s="1"/>
  <c r="H48" i="37" s="1"/>
  <c r="H65" i="37" s="1"/>
  <c r="H82" i="37" s="1"/>
  <c r="H99" i="37" s="1"/>
  <c r="H116" i="37" s="1"/>
  <c r="H133" i="37" s="1"/>
  <c r="H150" i="37" s="1"/>
  <c r="H167" i="37" s="1"/>
  <c r="H185" i="37" s="1"/>
  <c r="H202" i="37" s="1"/>
  <c r="H14" i="38"/>
  <c r="H31" i="38" s="1"/>
  <c r="H48" i="38" s="1"/>
  <c r="H65" i="38" s="1"/>
  <c r="H82" i="38" s="1"/>
  <c r="H99" i="38" s="1"/>
  <c r="H116" i="38" s="1"/>
  <c r="H133" i="38" s="1"/>
  <c r="H150" i="38" s="1"/>
  <c r="H167" i="38" s="1"/>
  <c r="H185" i="38" s="1"/>
  <c r="H202" i="38" s="1"/>
  <c r="H14" i="36"/>
  <c r="H31" i="36" s="1"/>
  <c r="H48" i="36" s="1"/>
  <c r="H65" i="36" s="1"/>
  <c r="H82" i="36" s="1"/>
  <c r="H99" i="36" s="1"/>
  <c r="H116" i="36" s="1"/>
  <c r="H133" i="36" s="1"/>
  <c r="H150" i="36" s="1"/>
  <c r="H167" i="36" s="1"/>
  <c r="H185" i="36" s="1"/>
  <c r="H202" i="36" s="1"/>
  <c r="H14" i="35"/>
  <c r="H31" i="35" s="1"/>
  <c r="H48" i="35" s="1"/>
  <c r="H65" i="35" s="1"/>
  <c r="H82" i="35" s="1"/>
  <c r="H99" i="35" s="1"/>
  <c r="H116" i="35" s="1"/>
  <c r="H133" i="35" s="1"/>
  <c r="H150" i="35" s="1"/>
  <c r="H167" i="35" s="1"/>
  <c r="H185" i="35" s="1"/>
  <c r="H202" i="35" s="1"/>
  <c r="H11" i="38"/>
  <c r="H28" i="38" s="1"/>
  <c r="H45" i="38" s="1"/>
  <c r="H62" i="38" s="1"/>
  <c r="H79" i="38" s="1"/>
  <c r="H11" i="36"/>
  <c r="H28" i="36" s="1"/>
  <c r="H45" i="36" s="1"/>
  <c r="H11" i="35"/>
  <c r="H28" i="35" s="1"/>
  <c r="H45" i="35" s="1"/>
  <c r="H62" i="35" s="1"/>
  <c r="H79" i="35" s="1"/>
  <c r="H96" i="35" s="1"/>
  <c r="H113" i="35" s="1"/>
  <c r="H130" i="35" s="1"/>
  <c r="H147" i="35" s="1"/>
  <c r="H164" i="35" s="1"/>
  <c r="H182" i="35" s="1"/>
  <c r="H11" i="37"/>
  <c r="H28" i="37" s="1"/>
  <c r="H45" i="37" s="1"/>
  <c r="H62" i="37" s="1"/>
  <c r="H79" i="37" s="1"/>
  <c r="H96" i="37" s="1"/>
  <c r="H113" i="37" s="1"/>
  <c r="H130" i="37" s="1"/>
  <c r="H147" i="37" s="1"/>
  <c r="H164" i="37" s="1"/>
  <c r="H182" i="37" s="1"/>
  <c r="C89" i="36"/>
  <c r="C106" i="36" s="1"/>
  <c r="C123" i="36" s="1"/>
  <c r="C87" i="36"/>
  <c r="D72" i="38"/>
  <c r="E50" i="35"/>
  <c r="D72" i="36"/>
  <c r="D70" i="36"/>
  <c r="G59" i="36"/>
  <c r="G76" i="36" s="1"/>
  <c r="G93" i="36" s="1"/>
  <c r="G110" i="36" s="1"/>
  <c r="G127" i="36" s="1"/>
  <c r="G144" i="36" s="1"/>
  <c r="G161" i="36" s="1"/>
  <c r="G179" i="36" s="1"/>
  <c r="E55" i="38"/>
  <c r="E67" i="38" s="1"/>
  <c r="E53" i="38"/>
  <c r="D53" i="37"/>
  <c r="D67" i="35"/>
  <c r="F22" i="27"/>
  <c r="F23" i="27" s="1"/>
  <c r="F26" i="27" s="1"/>
  <c r="F85" i="6" s="1"/>
  <c r="H58" i="6"/>
  <c r="H7" i="6"/>
  <c r="H15" i="6" s="1"/>
  <c r="G8" i="27"/>
  <c r="G9" i="27" s="1"/>
  <c r="E66" i="27"/>
  <c r="E67" i="27" s="1"/>
  <c r="F85" i="27"/>
  <c r="F86" i="27" s="1"/>
  <c r="G109" i="6"/>
  <c r="E64" i="27"/>
  <c r="E65" i="27" s="1"/>
  <c r="H75" i="6"/>
  <c r="G92" i="6"/>
  <c r="G24" i="6"/>
  <c r="G32" i="6" s="1"/>
  <c r="F64" i="27"/>
  <c r="F65" i="27" s="1"/>
  <c r="F15" i="27"/>
  <c r="F16" i="27" s="1"/>
  <c r="F19" i="27" s="1"/>
  <c r="H41" i="6"/>
  <c r="H49" i="6" s="1"/>
  <c r="G15" i="27"/>
  <c r="G16" i="27" s="1"/>
  <c r="E80" i="27"/>
  <c r="E81" i="27" s="1"/>
  <c r="E82" i="27" s="1"/>
  <c r="G143" i="6"/>
  <c r="J16" i="22"/>
  <c r="C120" i="6"/>
  <c r="C31" i="49" s="1"/>
  <c r="C61" i="49" s="1"/>
  <c r="C117" i="49" s="1"/>
  <c r="D120" i="6"/>
  <c r="D31" i="49" s="1"/>
  <c r="D61" i="49" s="1"/>
  <c r="D117" i="49" s="1"/>
  <c r="H16" i="22"/>
  <c r="H98" i="6"/>
  <c r="H166" i="6" s="1"/>
  <c r="H30" i="6"/>
  <c r="H81" i="6"/>
  <c r="H149" i="6" s="1"/>
  <c r="H115" i="6"/>
  <c r="H132" i="6"/>
  <c r="H200" i="6" s="1"/>
  <c r="H64" i="6"/>
  <c r="H13" i="6"/>
  <c r="H47" i="6"/>
  <c r="Q36" i="1"/>
  <c r="Q25" i="1"/>
  <c r="H99" i="6"/>
  <c r="G167" i="6"/>
  <c r="H17" i="22"/>
  <c r="F156" i="6"/>
  <c r="F168" i="6" s="1"/>
  <c r="F94" i="27" s="1"/>
  <c r="F95" i="27" s="1"/>
  <c r="G88" i="6"/>
  <c r="H97" i="6"/>
  <c r="G165" i="6"/>
  <c r="H90" i="6"/>
  <c r="G158" i="6"/>
  <c r="H96" i="6"/>
  <c r="G164" i="6"/>
  <c r="H93" i="6"/>
  <c r="G161" i="6"/>
  <c r="H74" i="6"/>
  <c r="G142" i="6"/>
  <c r="H94" i="6"/>
  <c r="G162" i="6"/>
  <c r="H91" i="6"/>
  <c r="G159" i="6"/>
  <c r="H89" i="6"/>
  <c r="G157" i="6"/>
  <c r="I95" i="6"/>
  <c r="H163" i="6"/>
  <c r="I76" i="6"/>
  <c r="H144" i="6"/>
  <c r="J72" i="6"/>
  <c r="I140" i="6"/>
  <c r="I78" i="6"/>
  <c r="H146" i="6"/>
  <c r="I80" i="6"/>
  <c r="H148" i="6"/>
  <c r="I77" i="6"/>
  <c r="H145" i="6"/>
  <c r="I61" i="6"/>
  <c r="I79" i="6"/>
  <c r="H147" i="6"/>
  <c r="I73" i="6"/>
  <c r="H141" i="6"/>
  <c r="H150" i="6"/>
  <c r="D9" i="5"/>
  <c r="E17" i="22"/>
  <c r="D4" i="5"/>
  <c r="C17" i="22"/>
  <c r="F17" i="22"/>
  <c r="C24" i="5"/>
  <c r="J17" i="22"/>
  <c r="I17" i="22"/>
  <c r="D14" i="5"/>
  <c r="G17" i="22"/>
  <c r="I122" i="6"/>
  <c r="Q22" i="1"/>
  <c r="Q31" i="1"/>
  <c r="Q23" i="1"/>
  <c r="Q26" i="1"/>
  <c r="Q30" i="1"/>
  <c r="Q33" i="1"/>
  <c r="Q28" i="1"/>
  <c r="Q32" i="1"/>
  <c r="Q35" i="1"/>
  <c r="Q24" i="1"/>
  <c r="Q27" i="1"/>
  <c r="Q34" i="1"/>
  <c r="H106" i="6"/>
  <c r="I112" i="6"/>
  <c r="I113" i="6"/>
  <c r="H111" i="6"/>
  <c r="H114" i="6"/>
  <c r="H108" i="6"/>
  <c r="H107" i="6"/>
  <c r="H110" i="6"/>
  <c r="H17" i="2"/>
  <c r="R37" i="1"/>
  <c r="H126" i="6"/>
  <c r="H134" i="6" s="1"/>
  <c r="I71" i="6"/>
  <c r="I3" i="6"/>
  <c r="I20" i="6"/>
  <c r="I37" i="6"/>
  <c r="I105" i="6"/>
  <c r="D171" i="38" l="1"/>
  <c r="D206" i="38" s="1"/>
  <c r="I11" i="36"/>
  <c r="I28" i="36" s="1"/>
  <c r="I45" i="36" s="1"/>
  <c r="I11" i="37"/>
  <c r="I28" i="37" s="1"/>
  <c r="I45" i="37" s="1"/>
  <c r="I62" i="37" s="1"/>
  <c r="I79" i="37" s="1"/>
  <c r="I96" i="37" s="1"/>
  <c r="I113" i="37" s="1"/>
  <c r="I130" i="37" s="1"/>
  <c r="I147" i="37" s="1"/>
  <c r="I164" i="37" s="1"/>
  <c r="I182" i="37" s="1"/>
  <c r="I11" i="38"/>
  <c r="I28" i="38" s="1"/>
  <c r="I45" i="38" s="1"/>
  <c r="I62" i="38" s="1"/>
  <c r="I79" i="38" s="1"/>
  <c r="I96" i="38" s="1"/>
  <c r="I113" i="38" s="1"/>
  <c r="I130" i="38" s="1"/>
  <c r="I147" i="38" s="1"/>
  <c r="I164" i="38" s="1"/>
  <c r="I182" i="38" s="1"/>
  <c r="F113" i="27"/>
  <c r="F114" i="27" s="1"/>
  <c r="F117" i="27" s="1"/>
  <c r="F272" i="6" s="1"/>
  <c r="F106" i="27"/>
  <c r="F107" i="27" s="1"/>
  <c r="F110" i="27" s="1"/>
  <c r="F238" i="6" s="1"/>
  <c r="F99" i="27"/>
  <c r="F100" i="27" s="1"/>
  <c r="F103" i="27" s="1"/>
  <c r="F204" i="6" s="1"/>
  <c r="E117" i="27"/>
  <c r="E272" i="6" s="1"/>
  <c r="E273" i="6" s="1"/>
  <c r="E43" i="49" s="1"/>
  <c r="E73" i="49" s="1"/>
  <c r="E129" i="49" s="1"/>
  <c r="I251" i="6"/>
  <c r="I234" i="6"/>
  <c r="I268" i="6"/>
  <c r="I183" i="6"/>
  <c r="I217" i="6"/>
  <c r="H190" i="6"/>
  <c r="G202" i="6"/>
  <c r="G101" i="27" s="1"/>
  <c r="G102" i="27" s="1"/>
  <c r="G50" i="27"/>
  <c r="G51" i="27" s="1"/>
  <c r="G52" i="27"/>
  <c r="G53" i="27" s="1"/>
  <c r="H177" i="6"/>
  <c r="H185" i="6" s="1"/>
  <c r="H45" i="27" s="1"/>
  <c r="H46" i="27" s="1"/>
  <c r="G185" i="6"/>
  <c r="G45" i="27" s="1"/>
  <c r="G46" i="27" s="1"/>
  <c r="D31" i="5"/>
  <c r="D30" i="5"/>
  <c r="I207" i="6"/>
  <c r="H219" i="6"/>
  <c r="H228" i="6"/>
  <c r="N17" i="22"/>
  <c r="Q7" i="43"/>
  <c r="C34" i="5"/>
  <c r="I173" i="6"/>
  <c r="H194" i="6"/>
  <c r="H258" i="6"/>
  <c r="G270" i="6"/>
  <c r="D41" i="5"/>
  <c r="D40" i="5"/>
  <c r="H224" i="6"/>
  <c r="G236" i="6"/>
  <c r="G108" i="27" s="1"/>
  <c r="G109" i="27" s="1"/>
  <c r="I262" i="6"/>
  <c r="F54" i="27"/>
  <c r="F221" i="6" s="1"/>
  <c r="C41" i="5"/>
  <c r="C40" i="5"/>
  <c r="D36" i="5"/>
  <c r="D35" i="5"/>
  <c r="C26" i="5"/>
  <c r="C25" i="5"/>
  <c r="D19" i="5"/>
  <c r="D24" i="5"/>
  <c r="B188" i="6"/>
  <c r="L16" i="22"/>
  <c r="K17" i="22"/>
  <c r="J133" i="6"/>
  <c r="J235" i="6"/>
  <c r="E136" i="6"/>
  <c r="E137" i="6" s="1"/>
  <c r="E40" i="49" s="1"/>
  <c r="E70" i="49" s="1"/>
  <c r="E126" i="49" s="1"/>
  <c r="E239" i="6"/>
  <c r="E44" i="49" s="1"/>
  <c r="E74" i="49" s="1"/>
  <c r="E130" i="49" s="1"/>
  <c r="E92" i="27"/>
  <c r="E93" i="27" s="1"/>
  <c r="E96" i="27" s="1"/>
  <c r="D170" i="6"/>
  <c r="D171" i="6" s="1"/>
  <c r="D41" i="49" s="1"/>
  <c r="D71" i="49" s="1"/>
  <c r="D127" i="49" s="1"/>
  <c r="D205" i="6"/>
  <c r="D45" i="49" s="1"/>
  <c r="D75" i="49" s="1"/>
  <c r="D131" i="49" s="1"/>
  <c r="F86" i="6"/>
  <c r="F30" i="49" s="1"/>
  <c r="F60" i="49" s="1"/>
  <c r="F116" i="49" s="1"/>
  <c r="F171" i="35"/>
  <c r="Q16" i="43"/>
  <c r="E76" i="46" s="1"/>
  <c r="J31" i="6"/>
  <c r="J218" i="6"/>
  <c r="F51" i="6"/>
  <c r="F52" i="6" s="1"/>
  <c r="F33" i="49" s="1"/>
  <c r="F63" i="49" s="1"/>
  <c r="F119" i="49" s="1"/>
  <c r="F222" i="6"/>
  <c r="F35" i="49" s="1"/>
  <c r="F65" i="49" s="1"/>
  <c r="F121" i="49" s="1"/>
  <c r="E255" i="6"/>
  <c r="E256" i="6" s="1"/>
  <c r="E34" i="49" s="1"/>
  <c r="E64" i="49" s="1"/>
  <c r="E120" i="49" s="1"/>
  <c r="E188" i="6"/>
  <c r="E36" i="49" s="1"/>
  <c r="E66" i="49" s="1"/>
  <c r="E122" i="49" s="1"/>
  <c r="K247" i="6"/>
  <c r="P26" i="22" s="1"/>
  <c r="I16" i="43"/>
  <c r="C76" i="46" s="1"/>
  <c r="C10" i="5"/>
  <c r="F61" i="27"/>
  <c r="F104" i="49"/>
  <c r="F91" i="49"/>
  <c r="J48" i="6"/>
  <c r="K184" i="6" s="1"/>
  <c r="L31" i="22" s="1"/>
  <c r="J252" i="6"/>
  <c r="G59" i="27"/>
  <c r="G60" i="27" s="1"/>
  <c r="G58" i="27"/>
  <c r="I241" i="6"/>
  <c r="H253" i="6"/>
  <c r="H57" i="27" s="1"/>
  <c r="J245" i="6"/>
  <c r="D189" i="38"/>
  <c r="H84" i="49"/>
  <c r="H85" i="49" s="1"/>
  <c r="H16" i="49"/>
  <c r="H88" i="49" s="1"/>
  <c r="J14" i="49"/>
  <c r="I12" i="49"/>
  <c r="I84" i="49" s="1"/>
  <c r="I85" i="49" s="1"/>
  <c r="R28" i="1"/>
  <c r="J10" i="37" s="1"/>
  <c r="J27" i="37" s="1"/>
  <c r="J44" i="37" s="1"/>
  <c r="J61" i="37" s="1"/>
  <c r="J78" i="37" s="1"/>
  <c r="J95" i="37" s="1"/>
  <c r="J112" i="37" s="1"/>
  <c r="J129" i="37" s="1"/>
  <c r="J146" i="37" s="1"/>
  <c r="J163" i="37" s="1"/>
  <c r="J181" i="37" s="1"/>
  <c r="J3" i="49"/>
  <c r="I77" i="49"/>
  <c r="M7" i="43"/>
  <c r="M16" i="43" s="1"/>
  <c r="K16" i="43"/>
  <c r="C20" i="5"/>
  <c r="O16" i="43"/>
  <c r="F76" i="46" s="1"/>
  <c r="E171" i="36"/>
  <c r="E206" i="36" s="1"/>
  <c r="E120" i="6"/>
  <c r="E31" i="49" s="1"/>
  <c r="E61" i="49" s="1"/>
  <c r="E117" i="49" s="1"/>
  <c r="E171" i="37"/>
  <c r="E206" i="37" s="1"/>
  <c r="E53" i="36"/>
  <c r="B118" i="35"/>
  <c r="C101" i="38"/>
  <c r="C104" i="38" s="1"/>
  <c r="B118" i="38"/>
  <c r="B121" i="38" s="1"/>
  <c r="L121" i="38" s="1"/>
  <c r="C9" i="13" s="1"/>
  <c r="C25" i="13" s="1"/>
  <c r="D84" i="35"/>
  <c r="D87" i="35" s="1"/>
  <c r="F80" i="27"/>
  <c r="F81" i="27" s="1"/>
  <c r="F82" i="27" s="1"/>
  <c r="F273" i="6" s="1"/>
  <c r="F43" i="49" s="1"/>
  <c r="F73" i="49" s="1"/>
  <c r="F129" i="49" s="1"/>
  <c r="E67" i="35"/>
  <c r="E70" i="35" s="1"/>
  <c r="E154" i="6"/>
  <c r="E32" i="49" s="1"/>
  <c r="E62" i="49" s="1"/>
  <c r="E118" i="49" s="1"/>
  <c r="G19" i="27"/>
  <c r="D84" i="38"/>
  <c r="D87" i="38" s="1"/>
  <c r="E67" i="37"/>
  <c r="E70" i="37" s="1"/>
  <c r="G100" i="6"/>
  <c r="L104" i="38"/>
  <c r="C8" i="13" s="1"/>
  <c r="C26" i="13" s="1"/>
  <c r="G33" i="38"/>
  <c r="G36" i="38" s="1"/>
  <c r="H10" i="27"/>
  <c r="H11" i="27" s="1"/>
  <c r="F89" i="27"/>
  <c r="G151" i="6"/>
  <c r="G38" i="27" s="1"/>
  <c r="G39" i="27" s="1"/>
  <c r="L104" i="36"/>
  <c r="E68" i="6"/>
  <c r="E69" i="6" s="1"/>
  <c r="E42" i="49" s="1"/>
  <c r="E72" i="49" s="1"/>
  <c r="E128" i="49" s="1"/>
  <c r="G12" i="27"/>
  <c r="G17" i="6" s="1"/>
  <c r="G18" i="6" s="1"/>
  <c r="G18" i="49" s="1"/>
  <c r="G48" i="49" s="1"/>
  <c r="G22" i="27"/>
  <c r="G23" i="27" s="1"/>
  <c r="G26" i="27" s="1"/>
  <c r="G85" i="6" s="1"/>
  <c r="F50" i="35"/>
  <c r="F53" i="35" s="1"/>
  <c r="F50" i="36"/>
  <c r="F53" i="36" s="1"/>
  <c r="E102" i="6"/>
  <c r="B118" i="37"/>
  <c r="B121" i="37" s="1"/>
  <c r="L121" i="37" s="1"/>
  <c r="F29" i="27"/>
  <c r="F30" i="27" s="1"/>
  <c r="F33" i="27" s="1"/>
  <c r="F119" i="6" s="1"/>
  <c r="H63" i="36"/>
  <c r="H80" i="36" s="1"/>
  <c r="H97" i="36" s="1"/>
  <c r="H114" i="36" s="1"/>
  <c r="H131" i="36" s="1"/>
  <c r="H148" i="36" s="1"/>
  <c r="H165" i="36" s="1"/>
  <c r="H183" i="36" s="1"/>
  <c r="I8" i="37"/>
  <c r="I25" i="37" s="1"/>
  <c r="I42" i="37" s="1"/>
  <c r="I59" i="37" s="1"/>
  <c r="I76" i="37" s="1"/>
  <c r="I93" i="37" s="1"/>
  <c r="I110" i="37" s="1"/>
  <c r="I127" i="37" s="1"/>
  <c r="I144" i="37" s="1"/>
  <c r="I161" i="37" s="1"/>
  <c r="I179" i="37" s="1"/>
  <c r="I8" i="36"/>
  <c r="I25" i="36" s="1"/>
  <c r="I42" i="36" s="1"/>
  <c r="I59" i="36" s="1"/>
  <c r="I76" i="36" s="1"/>
  <c r="I93" i="36" s="1"/>
  <c r="I110" i="36" s="1"/>
  <c r="I127" i="36" s="1"/>
  <c r="I144" i="36" s="1"/>
  <c r="I161" i="36" s="1"/>
  <c r="I179" i="36" s="1"/>
  <c r="I8" i="38"/>
  <c r="I25" i="38" s="1"/>
  <c r="I42" i="38" s="1"/>
  <c r="I59" i="38" s="1"/>
  <c r="I76" i="38" s="1"/>
  <c r="I93" i="38" s="1"/>
  <c r="I110" i="38" s="1"/>
  <c r="I127" i="38" s="1"/>
  <c r="I144" i="38" s="1"/>
  <c r="I161" i="38" s="1"/>
  <c r="I179" i="38" s="1"/>
  <c r="I8" i="35"/>
  <c r="I25" i="35" s="1"/>
  <c r="I42" i="35" s="1"/>
  <c r="I59" i="35" s="1"/>
  <c r="I76" i="35" s="1"/>
  <c r="I93" i="35" s="1"/>
  <c r="I110" i="35" s="1"/>
  <c r="I127" i="35" s="1"/>
  <c r="I144" i="35" s="1"/>
  <c r="I161" i="35" s="1"/>
  <c r="I179" i="35" s="1"/>
  <c r="D89" i="37"/>
  <c r="C87" i="35"/>
  <c r="C101" i="35"/>
  <c r="E84" i="36"/>
  <c r="E89" i="36"/>
  <c r="H98" i="38"/>
  <c r="H115" i="38" s="1"/>
  <c r="H132" i="38" s="1"/>
  <c r="H149" i="38" s="1"/>
  <c r="H166" i="38" s="1"/>
  <c r="H184" i="38" s="1"/>
  <c r="C27" i="13"/>
  <c r="I62" i="36"/>
  <c r="I79" i="36" s="1"/>
  <c r="I96" i="36" s="1"/>
  <c r="I113" i="36" s="1"/>
  <c r="I130" i="36" s="1"/>
  <c r="I147" i="36" s="1"/>
  <c r="I164" i="36" s="1"/>
  <c r="I182" i="36" s="1"/>
  <c r="G38" i="35"/>
  <c r="G50" i="35" s="1"/>
  <c r="G36" i="35"/>
  <c r="H21" i="35"/>
  <c r="H33" i="35" s="1"/>
  <c r="H19" i="35"/>
  <c r="C135" i="36"/>
  <c r="C152" i="36" s="1"/>
  <c r="C169" i="36" s="1"/>
  <c r="C140" i="36"/>
  <c r="I7" i="38"/>
  <c r="I24" i="38" s="1"/>
  <c r="I41" i="38" s="1"/>
  <c r="I58" i="38" s="1"/>
  <c r="I75" i="38" s="1"/>
  <c r="I7" i="37"/>
  <c r="I24" i="37" s="1"/>
  <c r="I41" i="37" s="1"/>
  <c r="I58" i="37" s="1"/>
  <c r="I75" i="37" s="1"/>
  <c r="I92" i="37" s="1"/>
  <c r="I109" i="37" s="1"/>
  <c r="I126" i="37" s="1"/>
  <c r="I143" i="37" s="1"/>
  <c r="I160" i="37" s="1"/>
  <c r="I178" i="37" s="1"/>
  <c r="I7" i="35"/>
  <c r="I24" i="35" s="1"/>
  <c r="I41" i="35" s="1"/>
  <c r="I58" i="35" s="1"/>
  <c r="I75" i="35" s="1"/>
  <c r="I92" i="35" s="1"/>
  <c r="I109" i="35" s="1"/>
  <c r="I126" i="35" s="1"/>
  <c r="I143" i="35" s="1"/>
  <c r="I160" i="35" s="1"/>
  <c r="I178" i="35" s="1"/>
  <c r="I7" i="36"/>
  <c r="I24" i="36" s="1"/>
  <c r="I41" i="36" s="1"/>
  <c r="H95" i="38"/>
  <c r="H112" i="38" s="1"/>
  <c r="H129" i="38" s="1"/>
  <c r="H146" i="38" s="1"/>
  <c r="H163" i="38" s="1"/>
  <c r="H181" i="38" s="1"/>
  <c r="B118" i="36"/>
  <c r="B121" i="36" s="1"/>
  <c r="L121" i="36" s="1"/>
  <c r="B123" i="36"/>
  <c r="B140" i="37"/>
  <c r="B135" i="37"/>
  <c r="B152" i="37" s="1"/>
  <c r="B169" i="37" s="1"/>
  <c r="H38" i="36"/>
  <c r="H83" i="6"/>
  <c r="H24" i="27" s="1"/>
  <c r="H25" i="27" s="1"/>
  <c r="I12" i="38"/>
  <c r="I29" i="38" s="1"/>
  <c r="I46" i="38" s="1"/>
  <c r="I63" i="38" s="1"/>
  <c r="I80" i="38" s="1"/>
  <c r="I12" i="36"/>
  <c r="I29" i="36" s="1"/>
  <c r="I46" i="36" s="1"/>
  <c r="I12" i="37"/>
  <c r="I29" i="37" s="1"/>
  <c r="I46" i="37" s="1"/>
  <c r="I63" i="37" s="1"/>
  <c r="I80" i="37" s="1"/>
  <c r="I97" i="37" s="1"/>
  <c r="I114" i="37" s="1"/>
  <c r="I131" i="37" s="1"/>
  <c r="I148" i="37" s="1"/>
  <c r="I165" i="37" s="1"/>
  <c r="I183" i="37" s="1"/>
  <c r="I12" i="35"/>
  <c r="I29" i="35" s="1"/>
  <c r="I46" i="35" s="1"/>
  <c r="I63" i="35" s="1"/>
  <c r="I80" i="35" s="1"/>
  <c r="I97" i="35" s="1"/>
  <c r="I114" i="35" s="1"/>
  <c r="I131" i="35" s="1"/>
  <c r="I148" i="35" s="1"/>
  <c r="I165" i="35" s="1"/>
  <c r="I183" i="35" s="1"/>
  <c r="H56" i="36"/>
  <c r="H73" i="36" s="1"/>
  <c r="H90" i="36" s="1"/>
  <c r="H107" i="36" s="1"/>
  <c r="H124" i="36" s="1"/>
  <c r="H141" i="36" s="1"/>
  <c r="H158" i="36" s="1"/>
  <c r="H176" i="36" s="1"/>
  <c r="I13" i="37"/>
  <c r="I30" i="37" s="1"/>
  <c r="I47" i="37" s="1"/>
  <c r="I64" i="37" s="1"/>
  <c r="I81" i="37" s="1"/>
  <c r="I98" i="37" s="1"/>
  <c r="I115" i="37" s="1"/>
  <c r="I132" i="37" s="1"/>
  <c r="I149" i="37" s="1"/>
  <c r="I166" i="37" s="1"/>
  <c r="I184" i="37" s="1"/>
  <c r="I13" i="36"/>
  <c r="I30" i="36" s="1"/>
  <c r="I47" i="36" s="1"/>
  <c r="I64" i="36" s="1"/>
  <c r="I81" i="36" s="1"/>
  <c r="I98" i="36" s="1"/>
  <c r="I115" i="36" s="1"/>
  <c r="I132" i="36" s="1"/>
  <c r="I149" i="36" s="1"/>
  <c r="I166" i="36" s="1"/>
  <c r="I184" i="36" s="1"/>
  <c r="I13" i="38"/>
  <c r="I30" i="38" s="1"/>
  <c r="I47" i="38" s="1"/>
  <c r="I64" i="38" s="1"/>
  <c r="I81" i="38" s="1"/>
  <c r="I98" i="38" s="1"/>
  <c r="I115" i="38" s="1"/>
  <c r="I132" i="38" s="1"/>
  <c r="I149" i="38" s="1"/>
  <c r="I166" i="38" s="1"/>
  <c r="I184" i="38" s="1"/>
  <c r="I13" i="35"/>
  <c r="I30" i="35" s="1"/>
  <c r="I47" i="35" s="1"/>
  <c r="I64" i="35" s="1"/>
  <c r="I81" i="35" s="1"/>
  <c r="I98" i="35" s="1"/>
  <c r="I115" i="35" s="1"/>
  <c r="I132" i="35" s="1"/>
  <c r="I149" i="35" s="1"/>
  <c r="I166" i="35" s="1"/>
  <c r="I184" i="35" s="1"/>
  <c r="Q47" i="1"/>
  <c r="I15" i="38"/>
  <c r="I32" i="38" s="1"/>
  <c r="I49" i="38" s="1"/>
  <c r="I66" i="38" s="1"/>
  <c r="I83" i="38" s="1"/>
  <c r="I15" i="35"/>
  <c r="I32" i="35" s="1"/>
  <c r="I49" i="35" s="1"/>
  <c r="I66" i="35" s="1"/>
  <c r="I83" i="35" s="1"/>
  <c r="I100" i="35" s="1"/>
  <c r="I117" i="35" s="1"/>
  <c r="I134" i="35" s="1"/>
  <c r="I151" i="35" s="1"/>
  <c r="I168" i="35" s="1"/>
  <c r="I186" i="35" s="1"/>
  <c r="I15" i="37"/>
  <c r="I32" i="37" s="1"/>
  <c r="I49" i="37" s="1"/>
  <c r="I66" i="37" s="1"/>
  <c r="I83" i="37" s="1"/>
  <c r="I100" i="37" s="1"/>
  <c r="I117" i="37" s="1"/>
  <c r="I134" i="37" s="1"/>
  <c r="I151" i="37" s="1"/>
  <c r="I168" i="37" s="1"/>
  <c r="I186" i="37" s="1"/>
  <c r="I15" i="36"/>
  <c r="I32" i="36" s="1"/>
  <c r="I49" i="36" s="1"/>
  <c r="I66" i="36" s="1"/>
  <c r="I83" i="36" s="1"/>
  <c r="I100" i="36" s="1"/>
  <c r="I117" i="36" s="1"/>
  <c r="I134" i="36" s="1"/>
  <c r="I151" i="36" s="1"/>
  <c r="I168" i="36" s="1"/>
  <c r="I186" i="36" s="1"/>
  <c r="D84" i="36"/>
  <c r="D89" i="36"/>
  <c r="H62" i="36"/>
  <c r="H79" i="36" s="1"/>
  <c r="H96" i="36" s="1"/>
  <c r="H113" i="36" s="1"/>
  <c r="H130" i="36" s="1"/>
  <c r="H147" i="36" s="1"/>
  <c r="H164" i="36" s="1"/>
  <c r="H182" i="36" s="1"/>
  <c r="C106" i="37"/>
  <c r="H64" i="36"/>
  <c r="H81" i="36" s="1"/>
  <c r="H98" i="36" s="1"/>
  <c r="H115" i="36" s="1"/>
  <c r="H132" i="36" s="1"/>
  <c r="H149" i="36" s="1"/>
  <c r="H166" i="36" s="1"/>
  <c r="H184" i="36" s="1"/>
  <c r="G38" i="37"/>
  <c r="F55" i="37"/>
  <c r="F53" i="37"/>
  <c r="H19" i="38"/>
  <c r="H21" i="38"/>
  <c r="F36" i="36"/>
  <c r="D70" i="35"/>
  <c r="I9" i="37"/>
  <c r="I26" i="37" s="1"/>
  <c r="I43" i="37" s="1"/>
  <c r="I60" i="37" s="1"/>
  <c r="I77" i="37" s="1"/>
  <c r="I94" i="37" s="1"/>
  <c r="I111" i="37" s="1"/>
  <c r="I128" i="37" s="1"/>
  <c r="I145" i="37" s="1"/>
  <c r="I162" i="37" s="1"/>
  <c r="I180" i="37" s="1"/>
  <c r="I9" i="38"/>
  <c r="I26" i="38" s="1"/>
  <c r="I43" i="38" s="1"/>
  <c r="I60" i="38" s="1"/>
  <c r="I77" i="38" s="1"/>
  <c r="I9" i="36"/>
  <c r="I26" i="36" s="1"/>
  <c r="I43" i="36" s="1"/>
  <c r="I9" i="35"/>
  <c r="I26" i="35" s="1"/>
  <c r="I43" i="35" s="1"/>
  <c r="I60" i="35" s="1"/>
  <c r="I77" i="35" s="1"/>
  <c r="I94" i="35" s="1"/>
  <c r="I111" i="35" s="1"/>
  <c r="I128" i="35" s="1"/>
  <c r="I145" i="35" s="1"/>
  <c r="I162" i="35" s="1"/>
  <c r="I180" i="35" s="1"/>
  <c r="I14" i="37"/>
  <c r="I31" i="37" s="1"/>
  <c r="I48" i="37" s="1"/>
  <c r="I65" i="37" s="1"/>
  <c r="I82" i="37" s="1"/>
  <c r="I99" i="37" s="1"/>
  <c r="I116" i="37" s="1"/>
  <c r="I133" i="37" s="1"/>
  <c r="I150" i="37" s="1"/>
  <c r="I167" i="37" s="1"/>
  <c r="I185" i="37" s="1"/>
  <c r="I202" i="37" s="1"/>
  <c r="I14" i="38"/>
  <c r="I31" i="38" s="1"/>
  <c r="I48" i="38" s="1"/>
  <c r="I65" i="38" s="1"/>
  <c r="I82" i="38" s="1"/>
  <c r="I14" i="36"/>
  <c r="I31" i="36" s="1"/>
  <c r="I48" i="36" s="1"/>
  <c r="I65" i="36" s="1"/>
  <c r="I82" i="36" s="1"/>
  <c r="I99" i="36" s="1"/>
  <c r="I116" i="36" s="1"/>
  <c r="I133" i="36" s="1"/>
  <c r="I150" i="36" s="1"/>
  <c r="I167" i="36" s="1"/>
  <c r="I185" i="36" s="1"/>
  <c r="I202" i="36" s="1"/>
  <c r="I14" i="35"/>
  <c r="I31" i="35" s="1"/>
  <c r="I48" i="35" s="1"/>
  <c r="I65" i="35" s="1"/>
  <c r="I82" i="35" s="1"/>
  <c r="I99" i="35" s="1"/>
  <c r="I116" i="35" s="1"/>
  <c r="I133" i="35" s="1"/>
  <c r="I150" i="35" s="1"/>
  <c r="I167" i="35" s="1"/>
  <c r="I185" i="35" s="1"/>
  <c r="I202" i="35" s="1"/>
  <c r="I4" i="38"/>
  <c r="I4" i="36"/>
  <c r="I21" i="36" s="1"/>
  <c r="I4" i="37"/>
  <c r="I4" i="35"/>
  <c r="H96" i="38"/>
  <c r="H113" i="38" s="1"/>
  <c r="H130" i="38" s="1"/>
  <c r="H147" i="38" s="1"/>
  <c r="H164" i="38" s="1"/>
  <c r="H182" i="38" s="1"/>
  <c r="B123" i="38"/>
  <c r="F55" i="38"/>
  <c r="E72" i="37"/>
  <c r="E89" i="37" s="1"/>
  <c r="F92" i="27"/>
  <c r="F93" i="27" s="1"/>
  <c r="F96" i="27" s="1"/>
  <c r="F36" i="35"/>
  <c r="H58" i="36"/>
  <c r="H75" i="36" s="1"/>
  <c r="H92" i="36" s="1"/>
  <c r="H109" i="36" s="1"/>
  <c r="H126" i="36" s="1"/>
  <c r="H143" i="36" s="1"/>
  <c r="H160" i="36" s="1"/>
  <c r="H178" i="36" s="1"/>
  <c r="F72" i="36"/>
  <c r="B104" i="35"/>
  <c r="D89" i="35"/>
  <c r="I5" i="37"/>
  <c r="I22" i="37" s="1"/>
  <c r="I39" i="37" s="1"/>
  <c r="I56" i="37" s="1"/>
  <c r="I73" i="37" s="1"/>
  <c r="I90" i="37" s="1"/>
  <c r="I107" i="37" s="1"/>
  <c r="I124" i="37" s="1"/>
  <c r="I141" i="37" s="1"/>
  <c r="I158" i="37" s="1"/>
  <c r="I176" i="37" s="1"/>
  <c r="I5" i="36"/>
  <c r="I5" i="38"/>
  <c r="I22" i="38" s="1"/>
  <c r="I39" i="38" s="1"/>
  <c r="I56" i="38" s="1"/>
  <c r="I73" i="38" s="1"/>
  <c r="I5" i="35"/>
  <c r="I22" i="35" s="1"/>
  <c r="I39" i="35" s="1"/>
  <c r="I56" i="35" s="1"/>
  <c r="I73" i="35" s="1"/>
  <c r="I90" i="35" s="1"/>
  <c r="I107" i="35" s="1"/>
  <c r="I124" i="35" s="1"/>
  <c r="I141" i="35" s="1"/>
  <c r="I158" i="35" s="1"/>
  <c r="I176" i="35" s="1"/>
  <c r="I6" i="37"/>
  <c r="I23" i="37" s="1"/>
  <c r="I40" i="37" s="1"/>
  <c r="I57" i="37" s="1"/>
  <c r="I74" i="37" s="1"/>
  <c r="I91" i="37" s="1"/>
  <c r="I108" i="37" s="1"/>
  <c r="I125" i="37" s="1"/>
  <c r="I142" i="37" s="1"/>
  <c r="I159" i="37" s="1"/>
  <c r="I177" i="37" s="1"/>
  <c r="I6" i="38"/>
  <c r="I23" i="38" s="1"/>
  <c r="I40" i="38" s="1"/>
  <c r="I57" i="38" s="1"/>
  <c r="I74" i="38" s="1"/>
  <c r="I6" i="36"/>
  <c r="I23" i="36" s="1"/>
  <c r="I40" i="36" s="1"/>
  <c r="I6" i="35"/>
  <c r="I23" i="35" s="1"/>
  <c r="I40" i="35" s="1"/>
  <c r="I57" i="35" s="1"/>
  <c r="I74" i="35" s="1"/>
  <c r="I91" i="35" s="1"/>
  <c r="I108" i="35" s="1"/>
  <c r="I125" i="35" s="1"/>
  <c r="I142" i="35" s="1"/>
  <c r="I159" i="35" s="1"/>
  <c r="I177" i="35" s="1"/>
  <c r="I16" i="37"/>
  <c r="I16" i="36"/>
  <c r="I16" i="35"/>
  <c r="I16" i="38"/>
  <c r="H100" i="38"/>
  <c r="H117" i="38" s="1"/>
  <c r="H134" i="38" s="1"/>
  <c r="H151" i="38" s="1"/>
  <c r="H168" i="38" s="1"/>
  <c r="H186" i="38" s="1"/>
  <c r="G66" i="6"/>
  <c r="H54" i="6"/>
  <c r="F50" i="38"/>
  <c r="H19" i="36"/>
  <c r="H23" i="36"/>
  <c r="H40" i="36" s="1"/>
  <c r="H160" i="6"/>
  <c r="F55" i="35"/>
  <c r="C101" i="36"/>
  <c r="H61" i="36"/>
  <c r="H78" i="36" s="1"/>
  <c r="H95" i="36" s="1"/>
  <c r="H112" i="36" s="1"/>
  <c r="H129" i="36" s="1"/>
  <c r="H146" i="36" s="1"/>
  <c r="H163" i="36" s="1"/>
  <c r="H181" i="36" s="1"/>
  <c r="J10" i="38"/>
  <c r="J27" i="38" s="1"/>
  <c r="J44" i="38" s="1"/>
  <c r="J61" i="38" s="1"/>
  <c r="J78" i="38" s="1"/>
  <c r="J10" i="35"/>
  <c r="J27" i="35" s="1"/>
  <c r="J44" i="35" s="1"/>
  <c r="J61" i="35" s="1"/>
  <c r="J78" i="35" s="1"/>
  <c r="J95" i="35" s="1"/>
  <c r="J112" i="35" s="1"/>
  <c r="J129" i="35" s="1"/>
  <c r="J146" i="35" s="1"/>
  <c r="J163" i="35" s="1"/>
  <c r="J181" i="35" s="1"/>
  <c r="J10" i="36"/>
  <c r="J27" i="36" s="1"/>
  <c r="J44" i="36" s="1"/>
  <c r="I10" i="37"/>
  <c r="I27" i="37" s="1"/>
  <c r="I44" i="37" s="1"/>
  <c r="I61" i="37" s="1"/>
  <c r="I78" i="37" s="1"/>
  <c r="I95" i="37" s="1"/>
  <c r="I112" i="37" s="1"/>
  <c r="I129" i="37" s="1"/>
  <c r="I146" i="37" s="1"/>
  <c r="I163" i="37" s="1"/>
  <c r="I181" i="37" s="1"/>
  <c r="I10" i="38"/>
  <c r="I27" i="38" s="1"/>
  <c r="I44" i="38" s="1"/>
  <c r="I61" i="38" s="1"/>
  <c r="I78" i="38" s="1"/>
  <c r="I10" i="35"/>
  <c r="I27" i="35" s="1"/>
  <c r="I44" i="35" s="1"/>
  <c r="I61" i="35" s="1"/>
  <c r="I78" i="35" s="1"/>
  <c r="I95" i="35" s="1"/>
  <c r="I112" i="35" s="1"/>
  <c r="I129" i="35" s="1"/>
  <c r="I146" i="35" s="1"/>
  <c r="I163" i="35" s="1"/>
  <c r="I181" i="35" s="1"/>
  <c r="I10" i="36"/>
  <c r="I27" i="36" s="1"/>
  <c r="I44" i="36" s="1"/>
  <c r="E72" i="38"/>
  <c r="E70" i="38"/>
  <c r="D89" i="38"/>
  <c r="F73" i="27"/>
  <c r="F74" i="27" s="1"/>
  <c r="F71" i="27"/>
  <c r="F72" i="27" s="1"/>
  <c r="H91" i="38"/>
  <c r="H108" i="38" s="1"/>
  <c r="H125" i="38" s="1"/>
  <c r="H142" i="38" s="1"/>
  <c r="H159" i="38" s="1"/>
  <c r="H177" i="38" s="1"/>
  <c r="D189" i="37"/>
  <c r="D206" i="37"/>
  <c r="F7" i="13"/>
  <c r="E53" i="35"/>
  <c r="C101" i="37"/>
  <c r="H19" i="37"/>
  <c r="H21" i="37"/>
  <c r="I139" i="6"/>
  <c r="H59" i="36"/>
  <c r="H76" i="36" s="1"/>
  <c r="H93" i="36" s="1"/>
  <c r="H110" i="36" s="1"/>
  <c r="H127" i="36" s="1"/>
  <c r="H144" i="36" s="1"/>
  <c r="H161" i="36" s="1"/>
  <c r="H179" i="36" s="1"/>
  <c r="G55" i="38"/>
  <c r="D189" i="36"/>
  <c r="D206" i="36"/>
  <c r="D84" i="37"/>
  <c r="G33" i="37"/>
  <c r="C106" i="38"/>
  <c r="H92" i="38"/>
  <c r="H109" i="38" s="1"/>
  <c r="H126" i="38" s="1"/>
  <c r="H143" i="38" s="1"/>
  <c r="H160" i="38" s="1"/>
  <c r="H178" i="38" s="1"/>
  <c r="E72" i="35"/>
  <c r="G38" i="36"/>
  <c r="G36" i="36"/>
  <c r="H90" i="38"/>
  <c r="H107" i="38" s="1"/>
  <c r="H124" i="38" s="1"/>
  <c r="H141" i="38" s="1"/>
  <c r="H158" i="38" s="1"/>
  <c r="H176" i="38" s="1"/>
  <c r="G117" i="6"/>
  <c r="G31" i="27" s="1"/>
  <c r="G32" i="27" s="1"/>
  <c r="F36" i="27"/>
  <c r="F37" i="27" s="1"/>
  <c r="F40" i="27" s="1"/>
  <c r="F153" i="6" s="1"/>
  <c r="F189" i="35" s="1"/>
  <c r="F206" i="35" s="1"/>
  <c r="G87" i="27"/>
  <c r="G88" i="27" s="1"/>
  <c r="E68" i="27"/>
  <c r="H143" i="6"/>
  <c r="I41" i="6"/>
  <c r="I49" i="6" s="1"/>
  <c r="H92" i="6"/>
  <c r="H109" i="6"/>
  <c r="H117" i="6" s="1"/>
  <c r="H31" i="27" s="1"/>
  <c r="H32" i="27" s="1"/>
  <c r="I58" i="6"/>
  <c r="F66" i="27"/>
  <c r="F67" i="27" s="1"/>
  <c r="F68" i="27" s="1"/>
  <c r="I75" i="6"/>
  <c r="G85" i="27"/>
  <c r="G86" i="27" s="1"/>
  <c r="H24" i="6"/>
  <c r="H32" i="6" s="1"/>
  <c r="G64" i="27"/>
  <c r="G65" i="27" s="1"/>
  <c r="I7" i="6"/>
  <c r="I15" i="6" s="1"/>
  <c r="H8" i="27"/>
  <c r="H9" i="27" s="1"/>
  <c r="R23" i="1"/>
  <c r="R29" i="1"/>
  <c r="R27" i="1"/>
  <c r="R30" i="1"/>
  <c r="C21" i="5"/>
  <c r="I98" i="6"/>
  <c r="I166" i="6" s="1"/>
  <c r="I30" i="6"/>
  <c r="I81" i="6"/>
  <c r="I149" i="6" s="1"/>
  <c r="I132" i="6"/>
  <c r="I200" i="6" s="1"/>
  <c r="I64" i="6"/>
  <c r="I115" i="6"/>
  <c r="I47" i="6"/>
  <c r="I13" i="6"/>
  <c r="I99" i="6"/>
  <c r="H167" i="6"/>
  <c r="R36" i="1"/>
  <c r="G156" i="6"/>
  <c r="G168" i="6" s="1"/>
  <c r="G94" i="27" s="1"/>
  <c r="G95" i="27" s="1"/>
  <c r="H88" i="6"/>
  <c r="I89" i="6"/>
  <c r="H157" i="6"/>
  <c r="I91" i="6"/>
  <c r="H159" i="6"/>
  <c r="I96" i="6"/>
  <c r="H164" i="6"/>
  <c r="I94" i="6"/>
  <c r="H162" i="6"/>
  <c r="I90" i="6"/>
  <c r="H158" i="6"/>
  <c r="I97" i="6"/>
  <c r="H165" i="6"/>
  <c r="J95" i="6"/>
  <c r="I163" i="6"/>
  <c r="I74" i="6"/>
  <c r="H142" i="6"/>
  <c r="I93" i="6"/>
  <c r="H161" i="6"/>
  <c r="J79" i="6"/>
  <c r="I147" i="6"/>
  <c r="J80" i="6"/>
  <c r="I148" i="6"/>
  <c r="J61" i="6"/>
  <c r="J78" i="6"/>
  <c r="I146" i="6"/>
  <c r="J77" i="6"/>
  <c r="I145" i="6"/>
  <c r="K72" i="6"/>
  <c r="J140" i="6"/>
  <c r="J73" i="6"/>
  <c r="I141" i="6"/>
  <c r="J76" i="6"/>
  <c r="I144" i="6"/>
  <c r="I150" i="6"/>
  <c r="C15" i="5"/>
  <c r="C16" i="5"/>
  <c r="D20" i="5"/>
  <c r="D21" i="5"/>
  <c r="D5" i="5"/>
  <c r="D6" i="5"/>
  <c r="D15" i="5"/>
  <c r="D16" i="5"/>
  <c r="D10" i="5"/>
  <c r="D11" i="5"/>
  <c r="J122" i="6"/>
  <c r="I17" i="2"/>
  <c r="J112" i="6"/>
  <c r="I114" i="6"/>
  <c r="I106" i="6"/>
  <c r="I110" i="6"/>
  <c r="I111" i="6"/>
  <c r="I107" i="6"/>
  <c r="I108" i="6"/>
  <c r="J113" i="6"/>
  <c r="R26" i="1"/>
  <c r="R24" i="1"/>
  <c r="R22" i="1"/>
  <c r="R33" i="1"/>
  <c r="R25" i="1"/>
  <c r="R32" i="1"/>
  <c r="R35" i="1"/>
  <c r="R31" i="1"/>
  <c r="R34" i="1"/>
  <c r="H17" i="27"/>
  <c r="H18" i="27" s="1"/>
  <c r="I126" i="6"/>
  <c r="I134" i="6" s="1"/>
  <c r="J105" i="6"/>
  <c r="J71" i="6"/>
  <c r="J37" i="6"/>
  <c r="J20" i="6"/>
  <c r="J3" i="6"/>
  <c r="S53" i="1"/>
  <c r="S45" i="1"/>
  <c r="S44" i="1"/>
  <c r="G106" i="27" l="1"/>
  <c r="G107" i="27" s="1"/>
  <c r="G110" i="27" s="1"/>
  <c r="G238" i="6" s="1"/>
  <c r="J251" i="6"/>
  <c r="J234" i="6"/>
  <c r="J268" i="6"/>
  <c r="J183" i="6"/>
  <c r="J217" i="6"/>
  <c r="L104" i="35"/>
  <c r="B8" i="13" s="1"/>
  <c r="F8" i="13" s="1"/>
  <c r="H8" i="13"/>
  <c r="I224" i="6"/>
  <c r="H236" i="6"/>
  <c r="H108" i="27" s="1"/>
  <c r="H109" i="27" s="1"/>
  <c r="J173" i="6"/>
  <c r="J207" i="6"/>
  <c r="I219" i="6"/>
  <c r="I190" i="6"/>
  <c r="H202" i="6"/>
  <c r="H101" i="27" s="1"/>
  <c r="H102" i="27" s="1"/>
  <c r="C36" i="5"/>
  <c r="C35" i="5"/>
  <c r="L17" i="22"/>
  <c r="C29" i="5"/>
  <c r="G115" i="27"/>
  <c r="G116" i="27" s="1"/>
  <c r="G113" i="27"/>
  <c r="G114" i="27" s="1"/>
  <c r="G117" i="27" s="1"/>
  <c r="G272" i="6" s="1"/>
  <c r="I258" i="6"/>
  <c r="H270" i="6"/>
  <c r="G43" i="27"/>
  <c r="G44" i="27" s="1"/>
  <c r="G47" i="27" s="1"/>
  <c r="G187" i="6" s="1"/>
  <c r="I177" i="6"/>
  <c r="I185" i="6" s="1"/>
  <c r="I45" i="27" s="1"/>
  <c r="I46" i="27" s="1"/>
  <c r="H43" i="27"/>
  <c r="H44" i="27" s="1"/>
  <c r="H47" i="27" s="1"/>
  <c r="H187" i="6" s="1"/>
  <c r="J262" i="6"/>
  <c r="G99" i="27"/>
  <c r="G100" i="27" s="1"/>
  <c r="G103" i="27" s="1"/>
  <c r="G204" i="6" s="1"/>
  <c r="I228" i="6"/>
  <c r="H106" i="27"/>
  <c r="H107" i="27" s="1"/>
  <c r="H110" i="27" s="1"/>
  <c r="H238" i="6" s="1"/>
  <c r="I194" i="6"/>
  <c r="H52" i="27"/>
  <c r="H53" i="27" s="1"/>
  <c r="H50" i="27"/>
  <c r="H51" i="27" s="1"/>
  <c r="G54" i="27"/>
  <c r="G221" i="6" s="1"/>
  <c r="D26" i="5"/>
  <c r="D25" i="5"/>
  <c r="B36" i="49"/>
  <c r="B66" i="49" s="1"/>
  <c r="B122" i="49" s="1"/>
  <c r="F136" i="6"/>
  <c r="F137" i="6" s="1"/>
  <c r="F40" i="49" s="1"/>
  <c r="F70" i="49" s="1"/>
  <c r="F126" i="49" s="1"/>
  <c r="F239" i="6"/>
  <c r="F44" i="49" s="1"/>
  <c r="F74" i="49" s="1"/>
  <c r="F130" i="49" s="1"/>
  <c r="K133" i="6"/>
  <c r="K235" i="6"/>
  <c r="O31" i="22" s="1"/>
  <c r="E170" i="6"/>
  <c r="E171" i="6" s="1"/>
  <c r="E41" i="49" s="1"/>
  <c r="E71" i="49" s="1"/>
  <c r="E127" i="49" s="1"/>
  <c r="E205" i="6"/>
  <c r="E45" i="49" s="1"/>
  <c r="E75" i="49" s="1"/>
  <c r="E131" i="49" s="1"/>
  <c r="F170" i="6"/>
  <c r="F171" i="6" s="1"/>
  <c r="F41" i="49" s="1"/>
  <c r="F71" i="49" s="1"/>
  <c r="F127" i="49" s="1"/>
  <c r="F205" i="6"/>
  <c r="F45" i="49" s="1"/>
  <c r="F75" i="49" s="1"/>
  <c r="F131" i="49" s="1"/>
  <c r="E189" i="36"/>
  <c r="G86" i="6"/>
  <c r="G30" i="49" s="1"/>
  <c r="G60" i="49" s="1"/>
  <c r="G116" i="49" s="1"/>
  <c r="G171" i="35"/>
  <c r="G51" i="6"/>
  <c r="G52" i="6" s="1"/>
  <c r="G33" i="49" s="1"/>
  <c r="G63" i="49" s="1"/>
  <c r="G119" i="49" s="1"/>
  <c r="G222" i="6"/>
  <c r="G35" i="49" s="1"/>
  <c r="G65" i="49" s="1"/>
  <c r="G121" i="49" s="1"/>
  <c r="K31" i="6"/>
  <c r="C31" i="22" s="1"/>
  <c r="K218" i="6"/>
  <c r="N31" i="22" s="1"/>
  <c r="F255" i="6"/>
  <c r="F256" i="6" s="1"/>
  <c r="F34" i="49" s="1"/>
  <c r="F64" i="49" s="1"/>
  <c r="F120" i="49" s="1"/>
  <c r="F188" i="6"/>
  <c r="F36" i="49" s="1"/>
  <c r="F66" i="49" s="1"/>
  <c r="F122" i="49" s="1"/>
  <c r="G104" i="49"/>
  <c r="G91" i="49"/>
  <c r="H59" i="27"/>
  <c r="H60" i="27" s="1"/>
  <c r="H58" i="27"/>
  <c r="J241" i="6"/>
  <c r="I253" i="6"/>
  <c r="I57" i="27" s="1"/>
  <c r="G61" i="27"/>
  <c r="D101" i="35"/>
  <c r="D104" i="35" s="1"/>
  <c r="I16" i="49"/>
  <c r="I88" i="49" s="1"/>
  <c r="K48" i="6"/>
  <c r="D31" i="22" s="1"/>
  <c r="K252" i="6"/>
  <c r="P31" i="22" s="1"/>
  <c r="K245" i="6"/>
  <c r="I78" i="49"/>
  <c r="J77" i="49"/>
  <c r="K14" i="49"/>
  <c r="K12" i="49" s="1"/>
  <c r="K84" i="49" s="1"/>
  <c r="K85" i="49" s="1"/>
  <c r="J12" i="49"/>
  <c r="J84" i="49" s="1"/>
  <c r="J85" i="49" s="1"/>
  <c r="F120" i="6"/>
  <c r="F31" i="49" s="1"/>
  <c r="F61" i="49" s="1"/>
  <c r="F117" i="49" s="1"/>
  <c r="F171" i="37"/>
  <c r="E103" i="6"/>
  <c r="E39" i="49" s="1"/>
  <c r="E69" i="49" s="1"/>
  <c r="E125" i="49" s="1"/>
  <c r="E171" i="38"/>
  <c r="G50" i="38"/>
  <c r="G67" i="38" s="1"/>
  <c r="G70" i="38" s="1"/>
  <c r="F67" i="35"/>
  <c r="F70" i="35" s="1"/>
  <c r="E189" i="37"/>
  <c r="E84" i="35"/>
  <c r="E87" i="35" s="1"/>
  <c r="D101" i="37"/>
  <c r="D104" i="37" s="1"/>
  <c r="G36" i="27"/>
  <c r="G37" i="27" s="1"/>
  <c r="G40" i="27" s="1"/>
  <c r="G153" i="6" s="1"/>
  <c r="G189" i="35" s="1"/>
  <c r="G206" i="35" s="1"/>
  <c r="H151" i="6"/>
  <c r="H38" i="27" s="1"/>
  <c r="H39" i="27" s="1"/>
  <c r="H12" i="27"/>
  <c r="H17" i="6" s="1"/>
  <c r="H18" i="6" s="1"/>
  <c r="H18" i="49" s="1"/>
  <c r="H48" i="49" s="1"/>
  <c r="C118" i="37"/>
  <c r="C121" i="37" s="1"/>
  <c r="G50" i="37"/>
  <c r="G53" i="37" s="1"/>
  <c r="H100" i="6"/>
  <c r="D101" i="36"/>
  <c r="D104" i="36" s="1"/>
  <c r="I83" i="6"/>
  <c r="I24" i="27" s="1"/>
  <c r="I25" i="27" s="1"/>
  <c r="H87" i="27"/>
  <c r="H88" i="27" s="1"/>
  <c r="D87" i="36"/>
  <c r="E84" i="37"/>
  <c r="E87" i="37" s="1"/>
  <c r="E101" i="36"/>
  <c r="E104" i="36" s="1"/>
  <c r="I10" i="27"/>
  <c r="I11" i="27" s="1"/>
  <c r="F102" i="6"/>
  <c r="F67" i="38"/>
  <c r="F70" i="38" s="1"/>
  <c r="F67" i="36"/>
  <c r="F70" i="36" s="1"/>
  <c r="F34" i="6"/>
  <c r="E34" i="6"/>
  <c r="H22" i="27"/>
  <c r="H23" i="27" s="1"/>
  <c r="H26" i="27" s="1"/>
  <c r="H85" i="6" s="1"/>
  <c r="C138" i="36"/>
  <c r="F75" i="27"/>
  <c r="B138" i="37"/>
  <c r="L138" i="37" s="1"/>
  <c r="J139" i="6"/>
  <c r="C104" i="36"/>
  <c r="C118" i="36"/>
  <c r="C121" i="36" s="1"/>
  <c r="I91" i="38"/>
  <c r="I108" i="38" s="1"/>
  <c r="I125" i="38" s="1"/>
  <c r="I142" i="38" s="1"/>
  <c r="I159" i="38" s="1"/>
  <c r="I177" i="38" s="1"/>
  <c r="E106" i="37"/>
  <c r="I97" i="38"/>
  <c r="I114" i="38" s="1"/>
  <c r="I131" i="38" s="1"/>
  <c r="I148" i="38" s="1"/>
  <c r="I165" i="38" s="1"/>
  <c r="I183" i="38" s="1"/>
  <c r="I58" i="36"/>
  <c r="I75" i="36" s="1"/>
  <c r="I92" i="36" s="1"/>
  <c r="I109" i="36" s="1"/>
  <c r="I126" i="36" s="1"/>
  <c r="I143" i="36" s="1"/>
  <c r="I160" i="36" s="1"/>
  <c r="I178" i="36" s="1"/>
  <c r="C118" i="35"/>
  <c r="C104" i="35"/>
  <c r="J14" i="38"/>
  <c r="J31" i="38" s="1"/>
  <c r="J48" i="38" s="1"/>
  <c r="J65" i="38" s="1"/>
  <c r="J82" i="38" s="1"/>
  <c r="J99" i="38" s="1"/>
  <c r="J116" i="38" s="1"/>
  <c r="J133" i="38" s="1"/>
  <c r="J150" i="38" s="1"/>
  <c r="J167" i="38" s="1"/>
  <c r="J185" i="38" s="1"/>
  <c r="J202" i="38" s="1"/>
  <c r="J14" i="36"/>
  <c r="J31" i="36" s="1"/>
  <c r="J48" i="36" s="1"/>
  <c r="J65" i="36" s="1"/>
  <c r="J82" i="36" s="1"/>
  <c r="J99" i="36" s="1"/>
  <c r="J116" i="36" s="1"/>
  <c r="J133" i="36" s="1"/>
  <c r="J150" i="36" s="1"/>
  <c r="J167" i="36" s="1"/>
  <c r="J185" i="36" s="1"/>
  <c r="J202" i="36" s="1"/>
  <c r="J14" i="35"/>
  <c r="J31" i="35" s="1"/>
  <c r="J48" i="35" s="1"/>
  <c r="J65" i="35" s="1"/>
  <c r="J82" i="35" s="1"/>
  <c r="J99" i="35" s="1"/>
  <c r="J116" i="35" s="1"/>
  <c r="J133" i="35" s="1"/>
  <c r="J150" i="35" s="1"/>
  <c r="J167" i="35" s="1"/>
  <c r="J185" i="35" s="1"/>
  <c r="J202" i="35" s="1"/>
  <c r="J14" i="37"/>
  <c r="J31" i="37" s="1"/>
  <c r="J48" i="37" s="1"/>
  <c r="J65" i="37" s="1"/>
  <c r="J82" i="37" s="1"/>
  <c r="J99" i="37" s="1"/>
  <c r="J116" i="37" s="1"/>
  <c r="J133" i="37" s="1"/>
  <c r="J150" i="37" s="1"/>
  <c r="J167" i="37" s="1"/>
  <c r="J185" i="37" s="1"/>
  <c r="J202" i="37" s="1"/>
  <c r="J16" i="37"/>
  <c r="J16" i="36"/>
  <c r="J16" i="35"/>
  <c r="J16" i="38"/>
  <c r="J12" i="37"/>
  <c r="J29" i="37" s="1"/>
  <c r="J46" i="37" s="1"/>
  <c r="J63" i="37" s="1"/>
  <c r="J80" i="37" s="1"/>
  <c r="J97" i="37" s="1"/>
  <c r="J114" i="37" s="1"/>
  <c r="J131" i="37" s="1"/>
  <c r="J148" i="37" s="1"/>
  <c r="J165" i="37" s="1"/>
  <c r="J183" i="37" s="1"/>
  <c r="J12" i="38"/>
  <c r="J29" i="38" s="1"/>
  <c r="J46" i="38" s="1"/>
  <c r="J63" i="38" s="1"/>
  <c r="J80" i="38" s="1"/>
  <c r="J97" i="38" s="1"/>
  <c r="J114" i="38" s="1"/>
  <c r="J131" i="38" s="1"/>
  <c r="J148" i="38" s="1"/>
  <c r="J165" i="38" s="1"/>
  <c r="J183" i="38" s="1"/>
  <c r="J12" i="36"/>
  <c r="J29" i="36" s="1"/>
  <c r="J46" i="36" s="1"/>
  <c r="J63" i="36" s="1"/>
  <c r="J80" i="36" s="1"/>
  <c r="J97" i="36" s="1"/>
  <c r="J114" i="36" s="1"/>
  <c r="J131" i="36" s="1"/>
  <c r="J148" i="36" s="1"/>
  <c r="J165" i="36" s="1"/>
  <c r="J183" i="36" s="1"/>
  <c r="J12" i="35"/>
  <c r="J29" i="35" s="1"/>
  <c r="J46" i="35" s="1"/>
  <c r="J63" i="35" s="1"/>
  <c r="J80" i="35" s="1"/>
  <c r="J97" i="35" s="1"/>
  <c r="J114" i="35" s="1"/>
  <c r="J131" i="35" s="1"/>
  <c r="J148" i="35" s="1"/>
  <c r="J165" i="35" s="1"/>
  <c r="J183" i="35" s="1"/>
  <c r="C123" i="38"/>
  <c r="D106" i="38"/>
  <c r="D123" i="38" s="1"/>
  <c r="J61" i="36"/>
  <c r="J78" i="36" s="1"/>
  <c r="J95" i="36" s="1"/>
  <c r="J112" i="36" s="1"/>
  <c r="J129" i="36" s="1"/>
  <c r="J146" i="36" s="1"/>
  <c r="J163" i="36" s="1"/>
  <c r="J181" i="36" s="1"/>
  <c r="F53" i="38"/>
  <c r="I21" i="35"/>
  <c r="I38" i="35" s="1"/>
  <c r="I19" i="35"/>
  <c r="H38" i="38"/>
  <c r="C104" i="37"/>
  <c r="B140" i="36"/>
  <c r="B135" i="36"/>
  <c r="B152" i="36" s="1"/>
  <c r="B169" i="36" s="1"/>
  <c r="H57" i="36"/>
  <c r="H74" i="36" s="1"/>
  <c r="H91" i="36" s="1"/>
  <c r="H108" i="36" s="1"/>
  <c r="H125" i="36" s="1"/>
  <c r="H142" i="36" s="1"/>
  <c r="H159" i="36" s="1"/>
  <c r="H177" i="36" s="1"/>
  <c r="I99" i="38"/>
  <c r="I116" i="38" s="1"/>
  <c r="I133" i="38" s="1"/>
  <c r="I150" i="38" s="1"/>
  <c r="I167" i="38" s="1"/>
  <c r="I185" i="38" s="1"/>
  <c r="I202" i="38" s="1"/>
  <c r="I63" i="36"/>
  <c r="I80" i="36" s="1"/>
  <c r="I97" i="36" s="1"/>
  <c r="I114" i="36" s="1"/>
  <c r="I131" i="36" s="1"/>
  <c r="I148" i="36" s="1"/>
  <c r="I165" i="36" s="1"/>
  <c r="I183" i="36" s="1"/>
  <c r="C157" i="36"/>
  <c r="C155" i="36"/>
  <c r="J7" i="38"/>
  <c r="J24" i="38" s="1"/>
  <c r="J41" i="38" s="1"/>
  <c r="J58" i="38" s="1"/>
  <c r="J75" i="38" s="1"/>
  <c r="J92" i="38" s="1"/>
  <c r="J109" i="38" s="1"/>
  <c r="J126" i="38" s="1"/>
  <c r="J143" i="38" s="1"/>
  <c r="J160" i="38" s="1"/>
  <c r="J178" i="38" s="1"/>
  <c r="J7" i="36"/>
  <c r="J24" i="36" s="1"/>
  <c r="J41" i="36" s="1"/>
  <c r="J7" i="37"/>
  <c r="J24" i="37" s="1"/>
  <c r="J41" i="37" s="1"/>
  <c r="J58" i="37" s="1"/>
  <c r="J75" i="37" s="1"/>
  <c r="J92" i="37" s="1"/>
  <c r="J109" i="37" s="1"/>
  <c r="J126" i="37" s="1"/>
  <c r="J143" i="37" s="1"/>
  <c r="J160" i="37" s="1"/>
  <c r="J178" i="37" s="1"/>
  <c r="J7" i="35"/>
  <c r="J24" i="35" s="1"/>
  <c r="J41" i="35" s="1"/>
  <c r="J58" i="35" s="1"/>
  <c r="J75" i="35" s="1"/>
  <c r="J92" i="35" s="1"/>
  <c r="J109" i="35" s="1"/>
  <c r="J126" i="35" s="1"/>
  <c r="J143" i="35" s="1"/>
  <c r="J160" i="35" s="1"/>
  <c r="J178" i="35" s="1"/>
  <c r="J9" i="37"/>
  <c r="J26" i="37" s="1"/>
  <c r="J43" i="37" s="1"/>
  <c r="J60" i="37" s="1"/>
  <c r="J77" i="37" s="1"/>
  <c r="J94" i="37" s="1"/>
  <c r="J111" i="37" s="1"/>
  <c r="J128" i="37" s="1"/>
  <c r="J145" i="37" s="1"/>
  <c r="J162" i="37" s="1"/>
  <c r="J180" i="37" s="1"/>
  <c r="J9" i="38"/>
  <c r="J26" i="38" s="1"/>
  <c r="J43" i="38" s="1"/>
  <c r="J60" i="38" s="1"/>
  <c r="J77" i="38" s="1"/>
  <c r="J9" i="36"/>
  <c r="J26" i="36" s="1"/>
  <c r="J43" i="36" s="1"/>
  <c r="J9" i="35"/>
  <c r="J26" i="35" s="1"/>
  <c r="J43" i="35" s="1"/>
  <c r="J60" i="35" s="1"/>
  <c r="J77" i="35" s="1"/>
  <c r="J94" i="35" s="1"/>
  <c r="J111" i="35" s="1"/>
  <c r="J128" i="35" s="1"/>
  <c r="J145" i="35" s="1"/>
  <c r="J162" i="35" s="1"/>
  <c r="J180" i="35" s="1"/>
  <c r="F72" i="35"/>
  <c r="H66" i="6"/>
  <c r="I54" i="6"/>
  <c r="F89" i="36"/>
  <c r="F72" i="38"/>
  <c r="I19" i="37"/>
  <c r="I21" i="37"/>
  <c r="I60" i="36"/>
  <c r="I77" i="36" s="1"/>
  <c r="I94" i="36" s="1"/>
  <c r="I111" i="36" s="1"/>
  <c r="I128" i="36" s="1"/>
  <c r="I145" i="36" s="1"/>
  <c r="I162" i="36" s="1"/>
  <c r="I180" i="36" s="1"/>
  <c r="C123" i="37"/>
  <c r="D106" i="37"/>
  <c r="D123" i="37" s="1"/>
  <c r="H38" i="37"/>
  <c r="I57" i="36"/>
  <c r="I74" i="36" s="1"/>
  <c r="I91" i="36" s="1"/>
  <c r="I108" i="36" s="1"/>
  <c r="I125" i="36" s="1"/>
  <c r="I142" i="36" s="1"/>
  <c r="I159" i="36" s="1"/>
  <c r="I177" i="36" s="1"/>
  <c r="G29" i="27"/>
  <c r="G30" i="27" s="1"/>
  <c r="G33" i="27" s="1"/>
  <c r="G119" i="6" s="1"/>
  <c r="E89" i="38"/>
  <c r="G92" i="27"/>
  <c r="G93" i="27" s="1"/>
  <c r="G96" i="27" s="1"/>
  <c r="G73" i="27"/>
  <c r="G74" i="27" s="1"/>
  <c r="G71" i="27"/>
  <c r="G72" i="27" s="1"/>
  <c r="I90" i="38"/>
  <c r="I107" i="38" s="1"/>
  <c r="I124" i="38" s="1"/>
  <c r="I141" i="38" s="1"/>
  <c r="I158" i="38" s="1"/>
  <c r="I176" i="38" s="1"/>
  <c r="I38" i="36"/>
  <c r="I94" i="38"/>
  <c r="I111" i="38" s="1"/>
  <c r="I128" i="38" s="1"/>
  <c r="I145" i="38" s="1"/>
  <c r="I162" i="38" s="1"/>
  <c r="I180" i="38" s="1"/>
  <c r="H33" i="38"/>
  <c r="H55" i="36"/>
  <c r="I92" i="38"/>
  <c r="I109" i="38" s="1"/>
  <c r="I126" i="38" s="1"/>
  <c r="I143" i="38" s="1"/>
  <c r="I160" i="38" s="1"/>
  <c r="I178" i="38" s="1"/>
  <c r="H38" i="35"/>
  <c r="H50" i="35" s="1"/>
  <c r="H36" i="35"/>
  <c r="D87" i="37"/>
  <c r="J13" i="37"/>
  <c r="J30" i="37" s="1"/>
  <c r="J47" i="37" s="1"/>
  <c r="J64" i="37" s="1"/>
  <c r="J81" i="37" s="1"/>
  <c r="J98" i="37" s="1"/>
  <c r="J115" i="37" s="1"/>
  <c r="J132" i="37" s="1"/>
  <c r="J149" i="37" s="1"/>
  <c r="J166" i="37" s="1"/>
  <c r="J184" i="37" s="1"/>
  <c r="J13" i="38"/>
  <c r="J30" i="38" s="1"/>
  <c r="J47" i="38" s="1"/>
  <c r="J64" i="38" s="1"/>
  <c r="J81" i="38" s="1"/>
  <c r="J13" i="35"/>
  <c r="J30" i="35" s="1"/>
  <c r="J47" i="35" s="1"/>
  <c r="J64" i="35" s="1"/>
  <c r="J81" i="35" s="1"/>
  <c r="J98" i="35" s="1"/>
  <c r="J115" i="35" s="1"/>
  <c r="J132" i="35" s="1"/>
  <c r="J149" i="35" s="1"/>
  <c r="J166" i="35" s="1"/>
  <c r="J184" i="35" s="1"/>
  <c r="J13" i="36"/>
  <c r="J30" i="36" s="1"/>
  <c r="J47" i="36" s="1"/>
  <c r="J64" i="36" s="1"/>
  <c r="J81" i="36" s="1"/>
  <c r="J98" i="36" s="1"/>
  <c r="J115" i="36" s="1"/>
  <c r="J132" i="36" s="1"/>
  <c r="J149" i="36" s="1"/>
  <c r="J166" i="36" s="1"/>
  <c r="J184" i="36" s="1"/>
  <c r="G72" i="38"/>
  <c r="J11" i="37"/>
  <c r="J28" i="37" s="1"/>
  <c r="J45" i="37" s="1"/>
  <c r="J62" i="37" s="1"/>
  <c r="J79" i="37" s="1"/>
  <c r="J96" i="37" s="1"/>
  <c r="J113" i="37" s="1"/>
  <c r="J130" i="37" s="1"/>
  <c r="J147" i="37" s="1"/>
  <c r="J164" i="37" s="1"/>
  <c r="J182" i="37" s="1"/>
  <c r="J11" i="36"/>
  <c r="J28" i="36" s="1"/>
  <c r="J45" i="36" s="1"/>
  <c r="J11" i="38"/>
  <c r="J28" i="38" s="1"/>
  <c r="J45" i="38" s="1"/>
  <c r="J62" i="38" s="1"/>
  <c r="J79" i="38" s="1"/>
  <c r="J11" i="35"/>
  <c r="J28" i="35" s="1"/>
  <c r="J45" i="35" s="1"/>
  <c r="J62" i="35" s="1"/>
  <c r="J79" i="35" s="1"/>
  <c r="J96" i="35" s="1"/>
  <c r="J113" i="35" s="1"/>
  <c r="J130" i="35" s="1"/>
  <c r="J147" i="35" s="1"/>
  <c r="J164" i="35" s="1"/>
  <c r="J182" i="35" s="1"/>
  <c r="G55" i="36"/>
  <c r="J4" i="37"/>
  <c r="J4" i="38"/>
  <c r="J4" i="36"/>
  <c r="J4" i="35"/>
  <c r="J5" i="37"/>
  <c r="J22" i="37" s="1"/>
  <c r="J39" i="37" s="1"/>
  <c r="J56" i="37" s="1"/>
  <c r="J73" i="37" s="1"/>
  <c r="J90" i="37" s="1"/>
  <c r="J107" i="37" s="1"/>
  <c r="J124" i="37" s="1"/>
  <c r="J141" i="37" s="1"/>
  <c r="J158" i="37" s="1"/>
  <c r="J176" i="37" s="1"/>
  <c r="J5" i="38"/>
  <c r="J22" i="38" s="1"/>
  <c r="J39" i="38" s="1"/>
  <c r="J56" i="38" s="1"/>
  <c r="J73" i="38" s="1"/>
  <c r="J5" i="35"/>
  <c r="J22" i="35" s="1"/>
  <c r="J39" i="35" s="1"/>
  <c r="J56" i="35" s="1"/>
  <c r="J73" i="35" s="1"/>
  <c r="J90" i="35" s="1"/>
  <c r="J107" i="35" s="1"/>
  <c r="J124" i="35" s="1"/>
  <c r="J141" i="35" s="1"/>
  <c r="J158" i="35" s="1"/>
  <c r="J176" i="35" s="1"/>
  <c r="J5" i="36"/>
  <c r="J22" i="36" s="1"/>
  <c r="J39" i="36" s="1"/>
  <c r="J56" i="36" s="1"/>
  <c r="J73" i="36" s="1"/>
  <c r="J90" i="36" s="1"/>
  <c r="J107" i="36" s="1"/>
  <c r="J124" i="36" s="1"/>
  <c r="J141" i="36" s="1"/>
  <c r="J158" i="36" s="1"/>
  <c r="J176" i="36" s="1"/>
  <c r="J95" i="38"/>
  <c r="J112" i="38" s="1"/>
  <c r="J129" i="38" s="1"/>
  <c r="J146" i="38" s="1"/>
  <c r="J163" i="38" s="1"/>
  <c r="J181" i="38" s="1"/>
  <c r="I160" i="6"/>
  <c r="I19" i="36"/>
  <c r="I22" i="36"/>
  <c r="I39" i="36" s="1"/>
  <c r="B135" i="38"/>
  <c r="B152" i="38" s="1"/>
  <c r="B169" i="38" s="1"/>
  <c r="B140" i="38"/>
  <c r="I19" i="38"/>
  <c r="I21" i="38"/>
  <c r="F67" i="37"/>
  <c r="F72" i="37"/>
  <c r="D101" i="38"/>
  <c r="I95" i="38"/>
  <c r="I112" i="38" s="1"/>
  <c r="I129" i="38" s="1"/>
  <c r="I146" i="38" s="1"/>
  <c r="I163" i="38" s="1"/>
  <c r="I181" i="38" s="1"/>
  <c r="D106" i="35"/>
  <c r="J6" i="38"/>
  <c r="J23" i="38" s="1"/>
  <c r="J40" i="38" s="1"/>
  <c r="J57" i="38" s="1"/>
  <c r="J74" i="38" s="1"/>
  <c r="J91" i="38" s="1"/>
  <c r="J108" i="38" s="1"/>
  <c r="J125" i="38" s="1"/>
  <c r="J142" i="38" s="1"/>
  <c r="J159" i="38" s="1"/>
  <c r="J177" i="38" s="1"/>
  <c r="J6" i="37"/>
  <c r="J23" i="37" s="1"/>
  <c r="J40" i="37" s="1"/>
  <c r="J57" i="37" s="1"/>
  <c r="J74" i="37" s="1"/>
  <c r="J91" i="37" s="1"/>
  <c r="J108" i="37" s="1"/>
  <c r="J125" i="37" s="1"/>
  <c r="J142" i="37" s="1"/>
  <c r="J159" i="37" s="1"/>
  <c r="J177" i="37" s="1"/>
  <c r="J6" i="36"/>
  <c r="J23" i="36" s="1"/>
  <c r="J40" i="36" s="1"/>
  <c r="J6" i="35"/>
  <c r="J23" i="35" s="1"/>
  <c r="J40" i="35" s="1"/>
  <c r="J57" i="35" s="1"/>
  <c r="J74" i="35" s="1"/>
  <c r="J91" i="35" s="1"/>
  <c r="J108" i="35" s="1"/>
  <c r="J125" i="35" s="1"/>
  <c r="J142" i="35" s="1"/>
  <c r="J159" i="35" s="1"/>
  <c r="J177" i="35" s="1"/>
  <c r="R47" i="1"/>
  <c r="J15" i="35"/>
  <c r="J32" i="35" s="1"/>
  <c r="J49" i="35" s="1"/>
  <c r="J66" i="35" s="1"/>
  <c r="J83" i="35" s="1"/>
  <c r="J100" i="35" s="1"/>
  <c r="J117" i="35" s="1"/>
  <c r="J134" i="35" s="1"/>
  <c r="J151" i="35" s="1"/>
  <c r="J168" i="35" s="1"/>
  <c r="J186" i="35" s="1"/>
  <c r="J15" i="38"/>
  <c r="J32" i="38" s="1"/>
  <c r="J49" i="38" s="1"/>
  <c r="J66" i="38" s="1"/>
  <c r="J83" i="38" s="1"/>
  <c r="J100" i="38" s="1"/>
  <c r="J117" i="38" s="1"/>
  <c r="J134" i="38" s="1"/>
  <c r="J151" i="38" s="1"/>
  <c r="J168" i="38" s="1"/>
  <c r="J186" i="38" s="1"/>
  <c r="J15" i="36"/>
  <c r="J32" i="36" s="1"/>
  <c r="J49" i="36" s="1"/>
  <c r="J66" i="36" s="1"/>
  <c r="J83" i="36" s="1"/>
  <c r="J100" i="36" s="1"/>
  <c r="J117" i="36" s="1"/>
  <c r="J134" i="36" s="1"/>
  <c r="J151" i="36" s="1"/>
  <c r="J168" i="36" s="1"/>
  <c r="J186" i="36" s="1"/>
  <c r="J15" i="37"/>
  <c r="J32" i="37" s="1"/>
  <c r="J49" i="37" s="1"/>
  <c r="J66" i="37" s="1"/>
  <c r="J83" i="37" s="1"/>
  <c r="J100" i="37" s="1"/>
  <c r="J117" i="37" s="1"/>
  <c r="J134" i="37" s="1"/>
  <c r="J151" i="37" s="1"/>
  <c r="J168" i="37" s="1"/>
  <c r="J186" i="37" s="1"/>
  <c r="E89" i="35"/>
  <c r="I61" i="36"/>
  <c r="I78" i="36" s="1"/>
  <c r="I95" i="36" s="1"/>
  <c r="I112" i="36" s="1"/>
  <c r="I129" i="36" s="1"/>
  <c r="I146" i="36" s="1"/>
  <c r="I163" i="36" s="1"/>
  <c r="I181" i="36" s="1"/>
  <c r="H33" i="36"/>
  <c r="H50" i="36" s="1"/>
  <c r="H53" i="36" s="1"/>
  <c r="C118" i="38"/>
  <c r="C121" i="38" s="1"/>
  <c r="G55" i="37"/>
  <c r="I100" i="38"/>
  <c r="I117" i="38" s="1"/>
  <c r="I134" i="38" s="1"/>
  <c r="I151" i="38" s="1"/>
  <c r="I168" i="38" s="1"/>
  <c r="I186" i="38" s="1"/>
  <c r="G55" i="35"/>
  <c r="G53" i="35"/>
  <c r="E87" i="36"/>
  <c r="E84" i="38"/>
  <c r="J8" i="37"/>
  <c r="J25" i="37" s="1"/>
  <c r="J42" i="37" s="1"/>
  <c r="J59" i="37" s="1"/>
  <c r="J76" i="37" s="1"/>
  <c r="J93" i="37" s="1"/>
  <c r="J110" i="37" s="1"/>
  <c r="J127" i="37" s="1"/>
  <c r="J144" i="37" s="1"/>
  <c r="J161" i="37" s="1"/>
  <c r="J179" i="37" s="1"/>
  <c r="J8" i="36"/>
  <c r="J25" i="36" s="1"/>
  <c r="J42" i="36" s="1"/>
  <c r="J8" i="38"/>
  <c r="J25" i="38" s="1"/>
  <c r="J42" i="38" s="1"/>
  <c r="J59" i="38" s="1"/>
  <c r="J76" i="38" s="1"/>
  <c r="J8" i="35"/>
  <c r="J25" i="35" s="1"/>
  <c r="J42" i="35" s="1"/>
  <c r="J59" i="35" s="1"/>
  <c r="J76" i="35" s="1"/>
  <c r="J93" i="35" s="1"/>
  <c r="J110" i="35" s="1"/>
  <c r="J127" i="35" s="1"/>
  <c r="J144" i="35" s="1"/>
  <c r="J161" i="35" s="1"/>
  <c r="J179" i="35" s="1"/>
  <c r="F154" i="6"/>
  <c r="F32" i="49" s="1"/>
  <c r="F62" i="49" s="1"/>
  <c r="F118" i="49" s="1"/>
  <c r="F171" i="36"/>
  <c r="H33" i="37"/>
  <c r="G36" i="37"/>
  <c r="D106" i="36"/>
  <c r="B155" i="37"/>
  <c r="B157" i="37"/>
  <c r="E106" i="36"/>
  <c r="E123" i="36" s="1"/>
  <c r="G50" i="36"/>
  <c r="G89" i="27"/>
  <c r="I92" i="6"/>
  <c r="I24" i="6"/>
  <c r="I32" i="6" s="1"/>
  <c r="H66" i="27"/>
  <c r="H67" i="27" s="1"/>
  <c r="J75" i="6"/>
  <c r="H15" i="27"/>
  <c r="H16" i="27" s="1"/>
  <c r="H19" i="27" s="1"/>
  <c r="J41" i="6"/>
  <c r="J49" i="6" s="1"/>
  <c r="G80" i="27"/>
  <c r="G81" i="27" s="1"/>
  <c r="H85" i="27"/>
  <c r="H86" i="27" s="1"/>
  <c r="I143" i="6"/>
  <c r="H29" i="27"/>
  <c r="H30" i="27" s="1"/>
  <c r="H33" i="27" s="1"/>
  <c r="H119" i="6" s="1"/>
  <c r="H171" i="37" s="1"/>
  <c r="I109" i="6"/>
  <c r="I117" i="6" s="1"/>
  <c r="I31" i="27" s="1"/>
  <c r="I32" i="27" s="1"/>
  <c r="J7" i="6"/>
  <c r="J15" i="6" s="1"/>
  <c r="I8" i="27"/>
  <c r="I9" i="27" s="1"/>
  <c r="G66" i="27"/>
  <c r="G67" i="27" s="1"/>
  <c r="G68" i="27" s="1"/>
  <c r="J58" i="6"/>
  <c r="G78" i="27"/>
  <c r="G79" i="27" s="1"/>
  <c r="J81" i="6"/>
  <c r="J149" i="6" s="1"/>
  <c r="J64" i="6"/>
  <c r="J132" i="6"/>
  <c r="J200" i="6" s="1"/>
  <c r="J30" i="6"/>
  <c r="J115" i="6"/>
  <c r="J47" i="6"/>
  <c r="J98" i="6"/>
  <c r="J166" i="6" s="1"/>
  <c r="J13" i="6"/>
  <c r="J99" i="6"/>
  <c r="I167" i="6"/>
  <c r="H156" i="6"/>
  <c r="H168" i="6" s="1"/>
  <c r="H94" i="27" s="1"/>
  <c r="H95" i="27" s="1"/>
  <c r="I88" i="6"/>
  <c r="J94" i="6"/>
  <c r="I162" i="6"/>
  <c r="J96" i="6"/>
  <c r="I164" i="6"/>
  <c r="J74" i="6"/>
  <c r="I142" i="6"/>
  <c r="J97" i="6"/>
  <c r="I165" i="6"/>
  <c r="J91" i="6"/>
  <c r="I159" i="6"/>
  <c r="K95" i="6"/>
  <c r="J163" i="6"/>
  <c r="J93" i="6"/>
  <c r="I161" i="6"/>
  <c r="J90" i="6"/>
  <c r="I158" i="6"/>
  <c r="J89" i="6"/>
  <c r="I157" i="6"/>
  <c r="K73" i="6"/>
  <c r="J141" i="6"/>
  <c r="K61" i="6"/>
  <c r="F21" i="22"/>
  <c r="K140" i="6"/>
  <c r="K76" i="6"/>
  <c r="J144" i="6"/>
  <c r="K77" i="6"/>
  <c r="J145" i="6"/>
  <c r="K80" i="6"/>
  <c r="J148" i="6"/>
  <c r="K78" i="6"/>
  <c r="J146" i="6"/>
  <c r="K79" i="6"/>
  <c r="J147" i="6"/>
  <c r="J150" i="6"/>
  <c r="I31" i="22"/>
  <c r="K122" i="6"/>
  <c r="K113" i="6"/>
  <c r="H28" i="22" s="1"/>
  <c r="J106" i="6"/>
  <c r="J108" i="6"/>
  <c r="K105" i="6"/>
  <c r="J114" i="6"/>
  <c r="J110" i="6"/>
  <c r="J111" i="6"/>
  <c r="J107" i="6"/>
  <c r="K112" i="6"/>
  <c r="H27" i="22" s="1"/>
  <c r="J17" i="2"/>
  <c r="S37" i="1"/>
  <c r="J126" i="6"/>
  <c r="J134" i="6" s="1"/>
  <c r="K37" i="6"/>
  <c r="I17" i="27"/>
  <c r="I18" i="27" s="1"/>
  <c r="K71" i="6"/>
  <c r="K20" i="6"/>
  <c r="K3" i="6"/>
  <c r="B26" i="13" l="1"/>
  <c r="H54" i="27"/>
  <c r="H221" i="6" s="1"/>
  <c r="H222" i="6" s="1"/>
  <c r="H35" i="49" s="1"/>
  <c r="H65" i="49" s="1"/>
  <c r="H121" i="49" s="1"/>
  <c r="J228" i="6"/>
  <c r="H115" i="27"/>
  <c r="H116" i="27" s="1"/>
  <c r="H113" i="27"/>
  <c r="H114" i="27" s="1"/>
  <c r="H117" i="27" s="1"/>
  <c r="H272" i="6" s="1"/>
  <c r="P24" i="22"/>
  <c r="J258" i="6"/>
  <c r="I270" i="6"/>
  <c r="J190" i="6"/>
  <c r="I202" i="6"/>
  <c r="I101" i="27" s="1"/>
  <c r="I102" i="27" s="1"/>
  <c r="I50" i="27"/>
  <c r="I51" i="27" s="1"/>
  <c r="I52" i="27"/>
  <c r="I53" i="27" s="1"/>
  <c r="K262" i="6"/>
  <c r="K207" i="6"/>
  <c r="J219" i="6"/>
  <c r="C31" i="5"/>
  <c r="C30" i="5"/>
  <c r="H99" i="27"/>
  <c r="H100" i="27" s="1"/>
  <c r="H103" i="27" s="1"/>
  <c r="H204" i="6" s="1"/>
  <c r="K173" i="6"/>
  <c r="K3" i="49"/>
  <c r="K77" i="49" s="1"/>
  <c r="D7" i="43"/>
  <c r="E4" i="5"/>
  <c r="J194" i="6"/>
  <c r="I99" i="27"/>
  <c r="I100" i="27" s="1"/>
  <c r="I103" i="27" s="1"/>
  <c r="I204" i="6" s="1"/>
  <c r="J177" i="6"/>
  <c r="J185" i="6" s="1"/>
  <c r="J45" i="27" s="1"/>
  <c r="J46" i="27" s="1"/>
  <c r="I43" i="27"/>
  <c r="I44" i="27" s="1"/>
  <c r="I47" i="27" s="1"/>
  <c r="I187" i="6" s="1"/>
  <c r="I236" i="6"/>
  <c r="I108" i="27" s="1"/>
  <c r="I109" i="27" s="1"/>
  <c r="J224" i="6"/>
  <c r="G136" i="6"/>
  <c r="G239" i="6"/>
  <c r="G44" i="49" s="1"/>
  <c r="G74" i="49" s="1"/>
  <c r="G130" i="49" s="1"/>
  <c r="G170" i="6"/>
  <c r="G205" i="6"/>
  <c r="G45" i="49" s="1"/>
  <c r="G75" i="49" s="1"/>
  <c r="G131" i="49" s="1"/>
  <c r="H61" i="27"/>
  <c r="H255" i="6" s="1"/>
  <c r="H256" i="6" s="1"/>
  <c r="H34" i="49" s="1"/>
  <c r="H64" i="49" s="1"/>
  <c r="H120" i="49" s="1"/>
  <c r="H86" i="6"/>
  <c r="H30" i="49" s="1"/>
  <c r="H60" i="49" s="1"/>
  <c r="H116" i="49" s="1"/>
  <c r="H171" i="35"/>
  <c r="H188" i="6"/>
  <c r="H36" i="49" s="1"/>
  <c r="H66" i="49" s="1"/>
  <c r="H122" i="49" s="1"/>
  <c r="G255" i="6"/>
  <c r="G256" i="6" s="1"/>
  <c r="G34" i="49" s="1"/>
  <c r="G64" i="49" s="1"/>
  <c r="G120" i="49" s="1"/>
  <c r="G188" i="6"/>
  <c r="G36" i="49" s="1"/>
  <c r="G66" i="49" s="1"/>
  <c r="G122" i="49" s="1"/>
  <c r="H104" i="49"/>
  <c r="H91" i="49"/>
  <c r="I59" i="27"/>
  <c r="I60" i="27" s="1"/>
  <c r="I58" i="27"/>
  <c r="K241" i="6"/>
  <c r="P20" i="22" s="1"/>
  <c r="J253" i="6"/>
  <c r="J57" i="27" s="1"/>
  <c r="D118" i="35"/>
  <c r="L85" i="49"/>
  <c r="J78" i="49"/>
  <c r="J16" i="49"/>
  <c r="J88" i="49" s="1"/>
  <c r="F103" i="6"/>
  <c r="F39" i="49" s="1"/>
  <c r="F69" i="49" s="1"/>
  <c r="F125" i="49" s="1"/>
  <c r="F171" i="38"/>
  <c r="F206" i="38" s="1"/>
  <c r="G120" i="6"/>
  <c r="G31" i="49" s="1"/>
  <c r="G61" i="49" s="1"/>
  <c r="G117" i="49" s="1"/>
  <c r="G171" i="37"/>
  <c r="G53" i="38"/>
  <c r="F84" i="35"/>
  <c r="F87" i="35" s="1"/>
  <c r="H36" i="27"/>
  <c r="H37" i="27" s="1"/>
  <c r="H40" i="27" s="1"/>
  <c r="H153" i="6" s="1"/>
  <c r="H189" i="35" s="1"/>
  <c r="H206" i="35" s="1"/>
  <c r="E101" i="35"/>
  <c r="E104" i="35" s="1"/>
  <c r="E35" i="6"/>
  <c r="E38" i="49" s="1"/>
  <c r="E68" i="49" s="1"/>
  <c r="E124" i="49" s="1"/>
  <c r="I12" i="27"/>
  <c r="I17" i="6" s="1"/>
  <c r="I18" i="6" s="1"/>
  <c r="I18" i="49" s="1"/>
  <c r="I48" i="49" s="1"/>
  <c r="F84" i="36"/>
  <c r="F101" i="36" s="1"/>
  <c r="F104" i="36" s="1"/>
  <c r="I22" i="27"/>
  <c r="I23" i="27" s="1"/>
  <c r="I26" i="27" s="1"/>
  <c r="I85" i="6" s="1"/>
  <c r="H50" i="38"/>
  <c r="H53" i="38" s="1"/>
  <c r="H89" i="27"/>
  <c r="F35" i="6"/>
  <c r="F38" i="49" s="1"/>
  <c r="F68" i="49" s="1"/>
  <c r="F124" i="49" s="1"/>
  <c r="H50" i="37"/>
  <c r="H53" i="37" s="1"/>
  <c r="E101" i="37"/>
  <c r="E104" i="37" s="1"/>
  <c r="I33" i="35"/>
  <c r="I50" i="35" s="1"/>
  <c r="J83" i="6"/>
  <c r="J22" i="27" s="1"/>
  <c r="J23" i="27" s="1"/>
  <c r="J10" i="27"/>
  <c r="J11" i="27" s="1"/>
  <c r="L155" i="37"/>
  <c r="D118" i="37"/>
  <c r="D121" i="37" s="1"/>
  <c r="H36" i="38"/>
  <c r="I151" i="6"/>
  <c r="I36" i="27" s="1"/>
  <c r="I37" i="27" s="1"/>
  <c r="E189" i="38"/>
  <c r="E206" i="38"/>
  <c r="D118" i="38"/>
  <c r="D121" i="38" s="1"/>
  <c r="H36" i="36"/>
  <c r="G34" i="6"/>
  <c r="I33" i="36"/>
  <c r="I50" i="36" s="1"/>
  <c r="I53" i="36" s="1"/>
  <c r="E101" i="38"/>
  <c r="E104" i="38" s="1"/>
  <c r="H51" i="6"/>
  <c r="H52" i="6" s="1"/>
  <c r="H33" i="49" s="1"/>
  <c r="H63" i="49" s="1"/>
  <c r="H119" i="49" s="1"/>
  <c r="H67" i="36"/>
  <c r="H70" i="36" s="1"/>
  <c r="F68" i="6"/>
  <c r="F69" i="6" s="1"/>
  <c r="F42" i="49" s="1"/>
  <c r="F72" i="49" s="1"/>
  <c r="F128" i="49" s="1"/>
  <c r="F84" i="38"/>
  <c r="F87" i="38" s="1"/>
  <c r="B138" i="36"/>
  <c r="L138" i="36" s="1"/>
  <c r="B138" i="38"/>
  <c r="L138" i="38" s="1"/>
  <c r="C10" i="13" s="1"/>
  <c r="C24" i="13" s="1"/>
  <c r="D123" i="36"/>
  <c r="F84" i="37"/>
  <c r="F87" i="37" s="1"/>
  <c r="H92" i="27"/>
  <c r="H93" i="27" s="1"/>
  <c r="H96" i="27" s="1"/>
  <c r="J98" i="38"/>
  <c r="J115" i="38" s="1"/>
  <c r="J132" i="38" s="1"/>
  <c r="J149" i="38" s="1"/>
  <c r="J166" i="38" s="1"/>
  <c r="J184" i="38" s="1"/>
  <c r="H72" i="36"/>
  <c r="J60" i="36"/>
  <c r="J77" i="36" s="1"/>
  <c r="J94" i="36" s="1"/>
  <c r="J111" i="36" s="1"/>
  <c r="J128" i="36" s="1"/>
  <c r="J145" i="36" s="1"/>
  <c r="J162" i="36" s="1"/>
  <c r="J180" i="36" s="1"/>
  <c r="C175" i="36"/>
  <c r="C187" i="36" s="1"/>
  <c r="C172" i="36"/>
  <c r="H55" i="38"/>
  <c r="D104" i="38"/>
  <c r="I38" i="38"/>
  <c r="J160" i="6"/>
  <c r="J21" i="35"/>
  <c r="J33" i="35" s="1"/>
  <c r="J19" i="35"/>
  <c r="J96" i="38"/>
  <c r="J113" i="38" s="1"/>
  <c r="J130" i="38" s="1"/>
  <c r="J147" i="38" s="1"/>
  <c r="J164" i="38" s="1"/>
  <c r="J182" i="38" s="1"/>
  <c r="G75" i="27"/>
  <c r="C140" i="37"/>
  <c r="C135" i="37"/>
  <c r="C152" i="37" s="1"/>
  <c r="C169" i="37" s="1"/>
  <c r="F106" i="36"/>
  <c r="F123" i="36" s="1"/>
  <c r="J94" i="38"/>
  <c r="J111" i="38" s="1"/>
  <c r="J128" i="38" s="1"/>
  <c r="J145" i="38" s="1"/>
  <c r="J162" i="38" s="1"/>
  <c r="J180" i="38" s="1"/>
  <c r="D135" i="38"/>
  <c r="D152" i="38" s="1"/>
  <c r="D169" i="38" s="1"/>
  <c r="D140" i="38"/>
  <c r="G84" i="38"/>
  <c r="G87" i="38" s="1"/>
  <c r="D20" i="22"/>
  <c r="G67" i="36"/>
  <c r="G70" i="36" s="1"/>
  <c r="J93" i="38"/>
  <c r="J110" i="38" s="1"/>
  <c r="J127" i="38" s="1"/>
  <c r="J144" i="38" s="1"/>
  <c r="J161" i="38" s="1"/>
  <c r="J179" i="38" s="1"/>
  <c r="G72" i="35"/>
  <c r="G89" i="35" s="1"/>
  <c r="J19" i="36"/>
  <c r="J21" i="36"/>
  <c r="J33" i="36" s="1"/>
  <c r="J62" i="36"/>
  <c r="J79" i="36" s="1"/>
  <c r="J96" i="36" s="1"/>
  <c r="J113" i="36" s="1"/>
  <c r="J130" i="36" s="1"/>
  <c r="J147" i="36" s="1"/>
  <c r="J164" i="36" s="1"/>
  <c r="J182" i="36" s="1"/>
  <c r="I55" i="35"/>
  <c r="C135" i="38"/>
  <c r="C152" i="38" s="1"/>
  <c r="C169" i="38" s="1"/>
  <c r="C140" i="38"/>
  <c r="F206" i="37"/>
  <c r="F189" i="37"/>
  <c r="J59" i="36"/>
  <c r="J76" i="36" s="1"/>
  <c r="J93" i="36" s="1"/>
  <c r="J110" i="36" s="1"/>
  <c r="J127" i="36" s="1"/>
  <c r="J144" i="36" s="1"/>
  <c r="J161" i="36" s="1"/>
  <c r="J179" i="36" s="1"/>
  <c r="J21" i="38"/>
  <c r="J33" i="38" s="1"/>
  <c r="J19" i="38"/>
  <c r="H36" i="37"/>
  <c r="I66" i="6"/>
  <c r="J54" i="6"/>
  <c r="C20" i="22"/>
  <c r="E140" i="36"/>
  <c r="E135" i="36"/>
  <c r="E152" i="36" s="1"/>
  <c r="E169" i="36" s="1"/>
  <c r="B155" i="38"/>
  <c r="B157" i="38"/>
  <c r="J21" i="37"/>
  <c r="J19" i="37"/>
  <c r="H55" i="35"/>
  <c r="H53" i="35"/>
  <c r="E87" i="38"/>
  <c r="H55" i="37"/>
  <c r="I33" i="37"/>
  <c r="I36" i="37" s="1"/>
  <c r="I38" i="37"/>
  <c r="H73" i="27"/>
  <c r="H74" i="27" s="1"/>
  <c r="H71" i="27"/>
  <c r="H72" i="27" s="1"/>
  <c r="I33" i="38"/>
  <c r="D118" i="36"/>
  <c r="D121" i="36" s="1"/>
  <c r="B172" i="37"/>
  <c r="L172" i="37" s="1"/>
  <c r="B175" i="37"/>
  <c r="F206" i="36"/>
  <c r="F189" i="36"/>
  <c r="E106" i="35"/>
  <c r="J57" i="36"/>
  <c r="J74" i="36" s="1"/>
  <c r="J91" i="36" s="1"/>
  <c r="J108" i="36" s="1"/>
  <c r="J125" i="36" s="1"/>
  <c r="J142" i="36" s="1"/>
  <c r="J159" i="36" s="1"/>
  <c r="J177" i="36" s="1"/>
  <c r="G89" i="38"/>
  <c r="I55" i="36"/>
  <c r="E106" i="38"/>
  <c r="E123" i="38" s="1"/>
  <c r="J58" i="36"/>
  <c r="J75" i="36" s="1"/>
  <c r="J92" i="36" s="1"/>
  <c r="J109" i="36" s="1"/>
  <c r="J126" i="36" s="1"/>
  <c r="J143" i="36" s="1"/>
  <c r="J160" i="36" s="1"/>
  <c r="J178" i="36" s="1"/>
  <c r="B155" i="36"/>
  <c r="B157" i="36"/>
  <c r="G67" i="37"/>
  <c r="G70" i="37" s="1"/>
  <c r="G72" i="37"/>
  <c r="F89" i="37"/>
  <c r="G72" i="36"/>
  <c r="B20" i="22"/>
  <c r="I100" i="6"/>
  <c r="I78" i="27" s="1"/>
  <c r="I79" i="27" s="1"/>
  <c r="G154" i="6"/>
  <c r="G32" i="49" s="1"/>
  <c r="G62" i="49" s="1"/>
  <c r="G118" i="49" s="1"/>
  <c r="G171" i="36"/>
  <c r="F70" i="37"/>
  <c r="I56" i="36"/>
  <c r="I73" i="36" s="1"/>
  <c r="I90" i="36" s="1"/>
  <c r="I107" i="36" s="1"/>
  <c r="I124" i="36" s="1"/>
  <c r="I141" i="36" s="1"/>
  <c r="I158" i="36" s="1"/>
  <c r="I176" i="36" s="1"/>
  <c r="J90" i="38"/>
  <c r="J107" i="38" s="1"/>
  <c r="J124" i="38" s="1"/>
  <c r="J141" i="38" s="1"/>
  <c r="J158" i="38" s="1"/>
  <c r="J176" i="38" s="1"/>
  <c r="G53" i="36"/>
  <c r="D140" i="37"/>
  <c r="D135" i="37"/>
  <c r="D152" i="37" s="1"/>
  <c r="D169" i="37" s="1"/>
  <c r="F89" i="38"/>
  <c r="F89" i="35"/>
  <c r="G67" i="35"/>
  <c r="E123" i="37"/>
  <c r="E118" i="36"/>
  <c r="E121" i="36" s="1"/>
  <c r="G137" i="6"/>
  <c r="G40" i="49" s="1"/>
  <c r="G70" i="49" s="1"/>
  <c r="G126" i="49" s="1"/>
  <c r="I87" i="27"/>
  <c r="I88" i="27" s="1"/>
  <c r="G82" i="27"/>
  <c r="G273" i="6" s="1"/>
  <c r="G43" i="49" s="1"/>
  <c r="G73" i="49" s="1"/>
  <c r="G129" i="49" s="1"/>
  <c r="H80" i="27"/>
  <c r="H81" i="27" s="1"/>
  <c r="J24" i="6"/>
  <c r="J32" i="6" s="1"/>
  <c r="I64" i="27"/>
  <c r="I65" i="27" s="1"/>
  <c r="H78" i="27"/>
  <c r="H79" i="27" s="1"/>
  <c r="K7" i="6"/>
  <c r="K15" i="6" s="1"/>
  <c r="J8" i="27"/>
  <c r="J9" i="27" s="1"/>
  <c r="I85" i="27"/>
  <c r="I86" i="27" s="1"/>
  <c r="I29" i="27"/>
  <c r="I30" i="27" s="1"/>
  <c r="I33" i="27" s="1"/>
  <c r="I119" i="6" s="1"/>
  <c r="J109" i="6"/>
  <c r="J92" i="6"/>
  <c r="H120" i="6"/>
  <c r="H31" i="49" s="1"/>
  <c r="H61" i="49" s="1"/>
  <c r="H117" i="49" s="1"/>
  <c r="I15" i="27"/>
  <c r="I16" i="27" s="1"/>
  <c r="I19" i="27" s="1"/>
  <c r="K75" i="6"/>
  <c r="K41" i="6"/>
  <c r="K49" i="6" s="1"/>
  <c r="K58" i="6"/>
  <c r="J143" i="6"/>
  <c r="H64" i="27"/>
  <c r="H65" i="27" s="1"/>
  <c r="H68" i="27" s="1"/>
  <c r="I20" i="22"/>
  <c r="H20" i="22"/>
  <c r="K99" i="6"/>
  <c r="J167" i="6"/>
  <c r="I156" i="6"/>
  <c r="I168" i="6" s="1"/>
  <c r="I94" i="27" s="1"/>
  <c r="I95" i="27" s="1"/>
  <c r="J88" i="6"/>
  <c r="K93" i="6"/>
  <c r="J161" i="6"/>
  <c r="K97" i="6"/>
  <c r="J165" i="6"/>
  <c r="K89" i="6"/>
  <c r="J157" i="6"/>
  <c r="G27" i="22"/>
  <c r="K163" i="6"/>
  <c r="K27" i="22" s="1"/>
  <c r="K74" i="6"/>
  <c r="J142" i="6"/>
  <c r="K91" i="6"/>
  <c r="J159" i="6"/>
  <c r="K96" i="6"/>
  <c r="J164" i="6"/>
  <c r="K90" i="6"/>
  <c r="J158" i="6"/>
  <c r="K94" i="6"/>
  <c r="J162" i="6"/>
  <c r="F27" i="22"/>
  <c r="K146" i="6"/>
  <c r="J21" i="22"/>
  <c r="F29" i="22"/>
  <c r="K148" i="6"/>
  <c r="F26" i="22"/>
  <c r="K145" i="6"/>
  <c r="E27" i="22"/>
  <c r="K139" i="6"/>
  <c r="F20" i="22"/>
  <c r="F28" i="22"/>
  <c r="K147" i="6"/>
  <c r="F25" i="22"/>
  <c r="K144" i="6"/>
  <c r="F22" i="22"/>
  <c r="K141" i="6"/>
  <c r="F31" i="22"/>
  <c r="K150" i="6"/>
  <c r="B31" i="22"/>
  <c r="K108" i="6"/>
  <c r="H23" i="22" s="1"/>
  <c r="K114" i="6"/>
  <c r="H29" i="22" s="1"/>
  <c r="K107" i="6"/>
  <c r="H22" i="22" s="1"/>
  <c r="K111" i="6"/>
  <c r="H26" i="22" s="1"/>
  <c r="K106" i="6"/>
  <c r="H21" i="22" s="1"/>
  <c r="K110" i="6"/>
  <c r="H25" i="22" s="1"/>
  <c r="S27" i="1"/>
  <c r="S36" i="1"/>
  <c r="S28" i="1"/>
  <c r="S29" i="1"/>
  <c r="S34" i="1"/>
  <c r="S32" i="1"/>
  <c r="S24" i="1"/>
  <c r="S31" i="1"/>
  <c r="S25" i="1"/>
  <c r="S26" i="1"/>
  <c r="S23" i="1"/>
  <c r="S22" i="1"/>
  <c r="S30" i="1"/>
  <c r="E29" i="5"/>
  <c r="S33" i="1"/>
  <c r="S35" i="1"/>
  <c r="K126" i="6"/>
  <c r="K134" i="6" s="1"/>
  <c r="J17" i="27"/>
  <c r="J18" i="27" s="1"/>
  <c r="N20" i="22" l="1"/>
  <c r="K219" i="6"/>
  <c r="K258" i="6"/>
  <c r="J270" i="6"/>
  <c r="K224" i="6"/>
  <c r="J236" i="6"/>
  <c r="J108" i="27" s="1"/>
  <c r="J109" i="27" s="1"/>
  <c r="Q24" i="22"/>
  <c r="L20" i="22"/>
  <c r="K177" i="6"/>
  <c r="J43" i="27"/>
  <c r="J44" i="27" s="1"/>
  <c r="J47" i="27" s="1"/>
  <c r="J187" i="6" s="1"/>
  <c r="I54" i="27"/>
  <c r="I221" i="6" s="1"/>
  <c r="I222" i="6" s="1"/>
  <c r="I35" i="49" s="1"/>
  <c r="I65" i="49" s="1"/>
  <c r="I121" i="49" s="1"/>
  <c r="K251" i="6"/>
  <c r="P30" i="22" s="1"/>
  <c r="K234" i="6"/>
  <c r="O30" i="22" s="1"/>
  <c r="K268" i="6"/>
  <c r="Q30" i="22" s="1"/>
  <c r="K183" i="6"/>
  <c r="L30" i="22" s="1"/>
  <c r="K217" i="6"/>
  <c r="N30" i="22" s="1"/>
  <c r="K16" i="49"/>
  <c r="K88" i="49" s="1"/>
  <c r="I106" i="27"/>
  <c r="I107" i="27" s="1"/>
  <c r="I110" i="27" s="1"/>
  <c r="I238" i="6" s="1"/>
  <c r="K194" i="6"/>
  <c r="K190" i="6"/>
  <c r="J202" i="6"/>
  <c r="J101" i="27" s="1"/>
  <c r="J102" i="27" s="1"/>
  <c r="K228" i="6"/>
  <c r="J52" i="27"/>
  <c r="J53" i="27" s="1"/>
  <c r="J50" i="27"/>
  <c r="J51" i="27" s="1"/>
  <c r="I115" i="27"/>
  <c r="I116" i="27" s="1"/>
  <c r="I113" i="27"/>
  <c r="I114" i="27" s="1"/>
  <c r="H136" i="6"/>
  <c r="H137" i="6" s="1"/>
  <c r="H40" i="49" s="1"/>
  <c r="H70" i="49" s="1"/>
  <c r="H126" i="49" s="1"/>
  <c r="H239" i="6"/>
  <c r="H44" i="49" s="1"/>
  <c r="H74" i="49" s="1"/>
  <c r="H130" i="49" s="1"/>
  <c r="F189" i="38"/>
  <c r="H170" i="6"/>
  <c r="H171" i="6" s="1"/>
  <c r="H41" i="49" s="1"/>
  <c r="H71" i="49" s="1"/>
  <c r="H127" i="49" s="1"/>
  <c r="H205" i="6"/>
  <c r="H45" i="49" s="1"/>
  <c r="H75" i="49" s="1"/>
  <c r="H131" i="49" s="1"/>
  <c r="E31" i="5"/>
  <c r="I86" i="6"/>
  <c r="I30" i="49" s="1"/>
  <c r="I60" i="49" s="1"/>
  <c r="I116" i="49" s="1"/>
  <c r="I171" i="35"/>
  <c r="I104" i="49"/>
  <c r="I91" i="49"/>
  <c r="J59" i="27"/>
  <c r="J60" i="27" s="1"/>
  <c r="J58" i="27"/>
  <c r="K253" i="6"/>
  <c r="I61" i="27"/>
  <c r="K78" i="49"/>
  <c r="L78" i="49" s="1"/>
  <c r="D32" i="43"/>
  <c r="D34" i="43" s="1"/>
  <c r="E6" i="5"/>
  <c r="S7" i="43"/>
  <c r="I120" i="6"/>
  <c r="I31" i="49" s="1"/>
  <c r="I61" i="49" s="1"/>
  <c r="I117" i="49" s="1"/>
  <c r="I171" i="37"/>
  <c r="I36" i="35"/>
  <c r="F101" i="35"/>
  <c r="E118" i="35"/>
  <c r="F87" i="36"/>
  <c r="E118" i="37"/>
  <c r="E121" i="37" s="1"/>
  <c r="H67" i="38"/>
  <c r="H70" i="38" s="1"/>
  <c r="J100" i="6"/>
  <c r="J80" i="27" s="1"/>
  <c r="J81" i="27" s="1"/>
  <c r="G35" i="6"/>
  <c r="G38" i="49" s="1"/>
  <c r="G68" i="49" s="1"/>
  <c r="G124" i="49" s="1"/>
  <c r="J24" i="27"/>
  <c r="J25" i="27" s="1"/>
  <c r="J26" i="27" s="1"/>
  <c r="J85" i="6" s="1"/>
  <c r="K83" i="6"/>
  <c r="I67" i="35"/>
  <c r="I70" i="35" s="1"/>
  <c r="L173" i="37"/>
  <c r="J12" i="27"/>
  <c r="J17" i="6" s="1"/>
  <c r="J18" i="6" s="1"/>
  <c r="J18" i="49" s="1"/>
  <c r="J48" i="49" s="1"/>
  <c r="L155" i="38"/>
  <c r="C11" i="13" s="1"/>
  <c r="C23" i="13" s="1"/>
  <c r="E118" i="38"/>
  <c r="E121" i="38" s="1"/>
  <c r="F118" i="36"/>
  <c r="F121" i="36" s="1"/>
  <c r="I67" i="36"/>
  <c r="I70" i="36" s="1"/>
  <c r="I53" i="35"/>
  <c r="J151" i="6"/>
  <c r="J36" i="27" s="1"/>
  <c r="J37" i="27" s="1"/>
  <c r="G84" i="35"/>
  <c r="G87" i="35" s="1"/>
  <c r="H34" i="6"/>
  <c r="I51" i="6"/>
  <c r="I52" i="6" s="1"/>
  <c r="I33" i="49" s="1"/>
  <c r="I63" i="49" s="1"/>
  <c r="I119" i="49" s="1"/>
  <c r="G102" i="6"/>
  <c r="L155" i="36"/>
  <c r="I36" i="36"/>
  <c r="G68" i="6"/>
  <c r="G69" i="6" s="1"/>
  <c r="G42" i="49" s="1"/>
  <c r="G72" i="49" s="1"/>
  <c r="G128" i="49" s="1"/>
  <c r="H84" i="36"/>
  <c r="H87" i="36" s="1"/>
  <c r="E138" i="36"/>
  <c r="C138" i="37"/>
  <c r="K5" i="37"/>
  <c r="K22" i="37" s="1"/>
  <c r="K39" i="37" s="1"/>
  <c r="K56" i="37" s="1"/>
  <c r="K73" i="37" s="1"/>
  <c r="K90" i="37" s="1"/>
  <c r="K107" i="37" s="1"/>
  <c r="K124" i="37" s="1"/>
  <c r="K141" i="37" s="1"/>
  <c r="K158" i="37" s="1"/>
  <c r="K176" i="37" s="1"/>
  <c r="K5" i="38"/>
  <c r="K22" i="38" s="1"/>
  <c r="K39" i="38" s="1"/>
  <c r="K56" i="38" s="1"/>
  <c r="K73" i="38" s="1"/>
  <c r="K5" i="35"/>
  <c r="K22" i="35" s="1"/>
  <c r="K39" i="35" s="1"/>
  <c r="K56" i="35" s="1"/>
  <c r="K73" i="35" s="1"/>
  <c r="K90" i="35" s="1"/>
  <c r="K107" i="35" s="1"/>
  <c r="K124" i="35" s="1"/>
  <c r="K141" i="35" s="1"/>
  <c r="K158" i="35" s="1"/>
  <c r="K176" i="35" s="1"/>
  <c r="K5" i="36"/>
  <c r="K22" i="36" s="1"/>
  <c r="K39" i="36" s="1"/>
  <c r="H72" i="35"/>
  <c r="C190" i="36"/>
  <c r="G206" i="36"/>
  <c r="G189" i="36"/>
  <c r="I80" i="27"/>
  <c r="I81" i="27" s="1"/>
  <c r="I82" i="27" s="1"/>
  <c r="G89" i="37"/>
  <c r="I55" i="37"/>
  <c r="F106" i="37"/>
  <c r="J38" i="36"/>
  <c r="J50" i="36" s="1"/>
  <c r="J36" i="36"/>
  <c r="S47" i="1"/>
  <c r="K15" i="38"/>
  <c r="K32" i="38" s="1"/>
  <c r="K49" i="38" s="1"/>
  <c r="K66" i="38" s="1"/>
  <c r="K83" i="38" s="1"/>
  <c r="K15" i="36"/>
  <c r="K32" i="36" s="1"/>
  <c r="K49" i="36" s="1"/>
  <c r="K66" i="36" s="1"/>
  <c r="K83" i="36" s="1"/>
  <c r="K100" i="36" s="1"/>
  <c r="K117" i="36" s="1"/>
  <c r="K134" i="36" s="1"/>
  <c r="K151" i="36" s="1"/>
  <c r="K168" i="36" s="1"/>
  <c r="K186" i="36" s="1"/>
  <c r="K15" i="37"/>
  <c r="K32" i="37" s="1"/>
  <c r="K49" i="37" s="1"/>
  <c r="K66" i="37" s="1"/>
  <c r="K83" i="37" s="1"/>
  <c r="K100" i="37" s="1"/>
  <c r="K117" i="37" s="1"/>
  <c r="K134" i="37" s="1"/>
  <c r="K151" i="37" s="1"/>
  <c r="K168" i="37" s="1"/>
  <c r="K186" i="37" s="1"/>
  <c r="K15" i="35"/>
  <c r="K32" i="35" s="1"/>
  <c r="K49" i="35" s="1"/>
  <c r="K66" i="35" s="1"/>
  <c r="K83" i="35" s="1"/>
  <c r="K100" i="35" s="1"/>
  <c r="K117" i="35" s="1"/>
  <c r="K134" i="35" s="1"/>
  <c r="K151" i="35" s="1"/>
  <c r="K168" i="35" s="1"/>
  <c r="K186" i="35" s="1"/>
  <c r="K7" i="38"/>
  <c r="K24" i="38" s="1"/>
  <c r="K41" i="38" s="1"/>
  <c r="K58" i="38" s="1"/>
  <c r="K75" i="38" s="1"/>
  <c r="K7" i="36"/>
  <c r="K24" i="36" s="1"/>
  <c r="K41" i="36" s="1"/>
  <c r="K7" i="35"/>
  <c r="K24" i="35" s="1"/>
  <c r="K41" i="35" s="1"/>
  <c r="K58" i="35" s="1"/>
  <c r="K75" i="35" s="1"/>
  <c r="K92" i="35" s="1"/>
  <c r="K109" i="35" s="1"/>
  <c r="K126" i="35" s="1"/>
  <c r="K143" i="35" s="1"/>
  <c r="K160" i="35" s="1"/>
  <c r="K178" i="35" s="1"/>
  <c r="K7" i="37"/>
  <c r="K24" i="37" s="1"/>
  <c r="K41" i="37" s="1"/>
  <c r="K58" i="37" s="1"/>
  <c r="K75" i="37" s="1"/>
  <c r="K92" i="37" s="1"/>
  <c r="K109" i="37" s="1"/>
  <c r="K126" i="37" s="1"/>
  <c r="K143" i="37" s="1"/>
  <c r="K160" i="37" s="1"/>
  <c r="K178" i="37" s="1"/>
  <c r="K9" i="37"/>
  <c r="K26" i="37" s="1"/>
  <c r="K43" i="37" s="1"/>
  <c r="K60" i="37" s="1"/>
  <c r="K77" i="37" s="1"/>
  <c r="K94" i="37" s="1"/>
  <c r="K111" i="37" s="1"/>
  <c r="K128" i="37" s="1"/>
  <c r="K145" i="37" s="1"/>
  <c r="K162" i="37" s="1"/>
  <c r="K180" i="37" s="1"/>
  <c r="K9" i="38"/>
  <c r="K26" i="38" s="1"/>
  <c r="K43" i="38" s="1"/>
  <c r="K60" i="38" s="1"/>
  <c r="K77" i="38" s="1"/>
  <c r="K94" i="38" s="1"/>
  <c r="K111" i="38" s="1"/>
  <c r="K128" i="38" s="1"/>
  <c r="K145" i="38" s="1"/>
  <c r="K162" i="38" s="1"/>
  <c r="K180" i="38" s="1"/>
  <c r="K9" i="36"/>
  <c r="K26" i="36" s="1"/>
  <c r="K43" i="36" s="1"/>
  <c r="K9" i="35"/>
  <c r="K26" i="35" s="1"/>
  <c r="K43" i="35" s="1"/>
  <c r="K60" i="35" s="1"/>
  <c r="K77" i="35" s="1"/>
  <c r="K94" i="35" s="1"/>
  <c r="K111" i="35" s="1"/>
  <c r="K128" i="35" s="1"/>
  <c r="K145" i="35" s="1"/>
  <c r="K162" i="35" s="1"/>
  <c r="K180" i="35" s="1"/>
  <c r="F106" i="35"/>
  <c r="F104" i="35"/>
  <c r="I50" i="37"/>
  <c r="J38" i="37"/>
  <c r="I72" i="35"/>
  <c r="I89" i="35" s="1"/>
  <c r="G70" i="35"/>
  <c r="F140" i="36"/>
  <c r="F135" i="36"/>
  <c r="F152" i="36" s="1"/>
  <c r="F169" i="36" s="1"/>
  <c r="F101" i="37"/>
  <c r="K8" i="37"/>
  <c r="K25" i="37" s="1"/>
  <c r="K42" i="37" s="1"/>
  <c r="K59" i="37" s="1"/>
  <c r="K76" i="37" s="1"/>
  <c r="K93" i="37" s="1"/>
  <c r="K110" i="37" s="1"/>
  <c r="K127" i="37" s="1"/>
  <c r="K144" i="37" s="1"/>
  <c r="K161" i="37" s="1"/>
  <c r="K179" i="37" s="1"/>
  <c r="K8" i="36"/>
  <c r="K25" i="36" s="1"/>
  <c r="K42" i="36" s="1"/>
  <c r="K8" i="38"/>
  <c r="K25" i="38" s="1"/>
  <c r="K42" i="38" s="1"/>
  <c r="K59" i="38" s="1"/>
  <c r="K76" i="38" s="1"/>
  <c r="K8" i="35"/>
  <c r="K25" i="35" s="1"/>
  <c r="K42" i="35" s="1"/>
  <c r="K59" i="35" s="1"/>
  <c r="K76" i="35" s="1"/>
  <c r="K93" i="35" s="1"/>
  <c r="K110" i="35" s="1"/>
  <c r="K127" i="35" s="1"/>
  <c r="K144" i="35" s="1"/>
  <c r="K161" i="35" s="1"/>
  <c r="K179" i="35" s="1"/>
  <c r="K14" i="38"/>
  <c r="K31" i="38" s="1"/>
  <c r="K48" i="38" s="1"/>
  <c r="K65" i="38" s="1"/>
  <c r="K82" i="38" s="1"/>
  <c r="K14" i="35"/>
  <c r="K31" i="35" s="1"/>
  <c r="K48" i="35" s="1"/>
  <c r="K65" i="35" s="1"/>
  <c r="K82" i="35" s="1"/>
  <c r="K99" i="35" s="1"/>
  <c r="K116" i="35" s="1"/>
  <c r="K133" i="35" s="1"/>
  <c r="K150" i="35" s="1"/>
  <c r="K167" i="35" s="1"/>
  <c r="K185" i="35" s="1"/>
  <c r="K202" i="35" s="1"/>
  <c r="K14" i="37"/>
  <c r="K31" i="37" s="1"/>
  <c r="K48" i="37" s="1"/>
  <c r="K65" i="37" s="1"/>
  <c r="K82" i="37" s="1"/>
  <c r="K99" i="37" s="1"/>
  <c r="K116" i="37" s="1"/>
  <c r="K133" i="37" s="1"/>
  <c r="K150" i="37" s="1"/>
  <c r="K167" i="37" s="1"/>
  <c r="K185" i="37" s="1"/>
  <c r="K202" i="37" s="1"/>
  <c r="K14" i="36"/>
  <c r="K31" i="36" s="1"/>
  <c r="K48" i="36" s="1"/>
  <c r="K65" i="36" s="1"/>
  <c r="K82" i="36" s="1"/>
  <c r="K99" i="36" s="1"/>
  <c r="K116" i="36" s="1"/>
  <c r="K133" i="36" s="1"/>
  <c r="K150" i="36" s="1"/>
  <c r="K167" i="36" s="1"/>
  <c r="K185" i="36" s="1"/>
  <c r="K202" i="36" s="1"/>
  <c r="K13" i="37"/>
  <c r="K30" i="37" s="1"/>
  <c r="K47" i="37" s="1"/>
  <c r="K64" i="37" s="1"/>
  <c r="K81" i="37" s="1"/>
  <c r="K98" i="37" s="1"/>
  <c r="K115" i="37" s="1"/>
  <c r="K132" i="37" s="1"/>
  <c r="K149" i="37" s="1"/>
  <c r="K166" i="37" s="1"/>
  <c r="K184" i="37" s="1"/>
  <c r="K13" i="38"/>
  <c r="K30" i="38" s="1"/>
  <c r="K47" i="38" s="1"/>
  <c r="K64" i="38" s="1"/>
  <c r="K81" i="38" s="1"/>
  <c r="K13" i="35"/>
  <c r="K30" i="35" s="1"/>
  <c r="K47" i="35" s="1"/>
  <c r="K64" i="35" s="1"/>
  <c r="K81" i="35" s="1"/>
  <c r="K98" i="35" s="1"/>
  <c r="K115" i="35" s="1"/>
  <c r="K132" i="35" s="1"/>
  <c r="K149" i="35" s="1"/>
  <c r="K166" i="35" s="1"/>
  <c r="K184" i="35" s="1"/>
  <c r="K13" i="36"/>
  <c r="K30" i="36" s="1"/>
  <c r="K47" i="36" s="1"/>
  <c r="G206" i="37"/>
  <c r="G189" i="37"/>
  <c r="G84" i="37"/>
  <c r="G87" i="37" s="1"/>
  <c r="B175" i="38"/>
  <c r="B172" i="38"/>
  <c r="L172" i="38" s="1"/>
  <c r="J66" i="6"/>
  <c r="K54" i="6"/>
  <c r="J33" i="37"/>
  <c r="G106" i="35"/>
  <c r="H67" i="35"/>
  <c r="D140" i="36"/>
  <c r="D135" i="36"/>
  <c r="D152" i="36" s="1"/>
  <c r="D169" i="36" s="1"/>
  <c r="F106" i="38"/>
  <c r="E135" i="38"/>
  <c r="E152" i="38" s="1"/>
  <c r="E169" i="38" s="1"/>
  <c r="E140" i="38"/>
  <c r="I50" i="38"/>
  <c r="H72" i="37"/>
  <c r="I73" i="27"/>
  <c r="I74" i="27" s="1"/>
  <c r="I71" i="27"/>
  <c r="I72" i="27" s="1"/>
  <c r="G101" i="38"/>
  <c r="G104" i="38" s="1"/>
  <c r="J38" i="35"/>
  <c r="J50" i="35" s="1"/>
  <c r="J36" i="35"/>
  <c r="G106" i="38"/>
  <c r="G123" i="38" s="1"/>
  <c r="K6" i="38"/>
  <c r="K23" i="38" s="1"/>
  <c r="K40" i="38" s="1"/>
  <c r="K57" i="38" s="1"/>
  <c r="K74" i="38" s="1"/>
  <c r="K6" i="37"/>
  <c r="K23" i="37" s="1"/>
  <c r="K40" i="37" s="1"/>
  <c r="K57" i="37" s="1"/>
  <c r="K74" i="37" s="1"/>
  <c r="K91" i="37" s="1"/>
  <c r="K108" i="37" s="1"/>
  <c r="K125" i="37" s="1"/>
  <c r="K142" i="37" s="1"/>
  <c r="K159" i="37" s="1"/>
  <c r="K177" i="37" s="1"/>
  <c r="K6" i="36"/>
  <c r="K23" i="36" s="1"/>
  <c r="K40" i="36" s="1"/>
  <c r="K6" i="35"/>
  <c r="K23" i="35" s="1"/>
  <c r="K40" i="35" s="1"/>
  <c r="K57" i="35" s="1"/>
  <c r="K74" i="35" s="1"/>
  <c r="K91" i="35" s="1"/>
  <c r="K108" i="35" s="1"/>
  <c r="K125" i="35" s="1"/>
  <c r="K142" i="35" s="1"/>
  <c r="K159" i="35" s="1"/>
  <c r="K177" i="35" s="1"/>
  <c r="K16" i="37"/>
  <c r="K16" i="36"/>
  <c r="K16" i="38"/>
  <c r="K16" i="35"/>
  <c r="I89" i="27"/>
  <c r="E140" i="37"/>
  <c r="E135" i="37"/>
  <c r="E152" i="37" s="1"/>
  <c r="E169" i="37" s="1"/>
  <c r="D138" i="37"/>
  <c r="D157" i="38"/>
  <c r="D155" i="38"/>
  <c r="I92" i="27"/>
  <c r="I93" i="27" s="1"/>
  <c r="I96" i="27" s="1"/>
  <c r="F101" i="38"/>
  <c r="B192" i="37"/>
  <c r="B187" i="37"/>
  <c r="B190" i="37" s="1"/>
  <c r="L190" i="37" s="1"/>
  <c r="I55" i="38"/>
  <c r="K12" i="37"/>
  <c r="K29" i="37" s="1"/>
  <c r="K46" i="37" s="1"/>
  <c r="K63" i="37" s="1"/>
  <c r="K80" i="37" s="1"/>
  <c r="K97" i="37" s="1"/>
  <c r="K114" i="37" s="1"/>
  <c r="K131" i="37" s="1"/>
  <c r="K148" i="37" s="1"/>
  <c r="K165" i="37" s="1"/>
  <c r="K183" i="37" s="1"/>
  <c r="K12" i="38"/>
  <c r="K29" i="38" s="1"/>
  <c r="K46" i="38" s="1"/>
  <c r="K63" i="38" s="1"/>
  <c r="K80" i="38" s="1"/>
  <c r="K12" i="36"/>
  <c r="K29" i="36" s="1"/>
  <c r="K46" i="36" s="1"/>
  <c r="K63" i="36" s="1"/>
  <c r="K80" i="36" s="1"/>
  <c r="K97" i="36" s="1"/>
  <c r="K114" i="36" s="1"/>
  <c r="K131" i="36" s="1"/>
  <c r="K148" i="36" s="1"/>
  <c r="K165" i="36" s="1"/>
  <c r="K183" i="36" s="1"/>
  <c r="K12" i="35"/>
  <c r="K29" i="35" s="1"/>
  <c r="K46" i="35" s="1"/>
  <c r="K63" i="35" s="1"/>
  <c r="K80" i="35" s="1"/>
  <c r="K97" i="35" s="1"/>
  <c r="K114" i="35" s="1"/>
  <c r="K131" i="35" s="1"/>
  <c r="K148" i="35" s="1"/>
  <c r="K165" i="35" s="1"/>
  <c r="K183" i="35" s="1"/>
  <c r="G84" i="36"/>
  <c r="G87" i="36" s="1"/>
  <c r="G89" i="36"/>
  <c r="I72" i="36"/>
  <c r="H75" i="27"/>
  <c r="C138" i="38"/>
  <c r="H67" i="37"/>
  <c r="D138" i="38"/>
  <c r="C157" i="37"/>
  <c r="C155" i="37"/>
  <c r="K160" i="6"/>
  <c r="H72" i="38"/>
  <c r="H89" i="36"/>
  <c r="K10" i="38"/>
  <c r="K27" i="38" s="1"/>
  <c r="K44" i="38" s="1"/>
  <c r="K61" i="38" s="1"/>
  <c r="K78" i="38" s="1"/>
  <c r="K10" i="37"/>
  <c r="K27" i="37" s="1"/>
  <c r="K44" i="37" s="1"/>
  <c r="K61" i="37" s="1"/>
  <c r="K78" i="37" s="1"/>
  <c r="K95" i="37" s="1"/>
  <c r="K112" i="37" s="1"/>
  <c r="K129" i="37" s="1"/>
  <c r="K146" i="37" s="1"/>
  <c r="K163" i="37" s="1"/>
  <c r="K181" i="37" s="1"/>
  <c r="K10" i="35"/>
  <c r="K27" i="35" s="1"/>
  <c r="K44" i="35" s="1"/>
  <c r="K61" i="35" s="1"/>
  <c r="K78" i="35" s="1"/>
  <c r="K95" i="35" s="1"/>
  <c r="K112" i="35" s="1"/>
  <c r="K129" i="35" s="1"/>
  <c r="K146" i="35" s="1"/>
  <c r="K163" i="35" s="1"/>
  <c r="K181" i="35" s="1"/>
  <c r="K10" i="36"/>
  <c r="K27" i="36" s="1"/>
  <c r="K44" i="36" s="1"/>
  <c r="K4" i="37"/>
  <c r="K4" i="38"/>
  <c r="K4" i="36"/>
  <c r="K4" i="35"/>
  <c r="K11" i="37"/>
  <c r="K28" i="37" s="1"/>
  <c r="K45" i="37" s="1"/>
  <c r="K62" i="37" s="1"/>
  <c r="K79" i="37" s="1"/>
  <c r="K96" i="37" s="1"/>
  <c r="K113" i="37" s="1"/>
  <c r="K130" i="37" s="1"/>
  <c r="K147" i="37" s="1"/>
  <c r="K164" i="37" s="1"/>
  <c r="K182" i="37" s="1"/>
  <c r="K11" i="36"/>
  <c r="K28" i="36" s="1"/>
  <c r="K45" i="36" s="1"/>
  <c r="K11" i="38"/>
  <c r="K28" i="38" s="1"/>
  <c r="K45" i="38" s="1"/>
  <c r="K62" i="38" s="1"/>
  <c r="K79" i="38" s="1"/>
  <c r="K96" i="38" s="1"/>
  <c r="K113" i="38" s="1"/>
  <c r="K130" i="38" s="1"/>
  <c r="K147" i="38" s="1"/>
  <c r="K164" i="38" s="1"/>
  <c r="K182" i="38" s="1"/>
  <c r="K11" i="35"/>
  <c r="K28" i="35" s="1"/>
  <c r="K45" i="35" s="1"/>
  <c r="K62" i="35" s="1"/>
  <c r="K79" i="35" s="1"/>
  <c r="K96" i="35" s="1"/>
  <c r="K113" i="35" s="1"/>
  <c r="K130" i="35" s="1"/>
  <c r="K147" i="35" s="1"/>
  <c r="K164" i="35" s="1"/>
  <c r="K182" i="35" s="1"/>
  <c r="H154" i="6"/>
  <c r="H32" i="49" s="1"/>
  <c r="H62" i="49" s="1"/>
  <c r="H118" i="49" s="1"/>
  <c r="H171" i="36"/>
  <c r="D157" i="37"/>
  <c r="D155" i="37"/>
  <c r="B175" i="36"/>
  <c r="B172" i="36"/>
  <c r="L172" i="36" s="1"/>
  <c r="E155" i="36"/>
  <c r="E157" i="36"/>
  <c r="J36" i="38"/>
  <c r="J38" i="38"/>
  <c r="C155" i="38"/>
  <c r="C157" i="38"/>
  <c r="I36" i="38"/>
  <c r="J117" i="6"/>
  <c r="J29" i="27" s="1"/>
  <c r="J30" i="27" s="1"/>
  <c r="G171" i="6"/>
  <c r="G41" i="49" s="1"/>
  <c r="G71" i="49" s="1"/>
  <c r="G127" i="49" s="1"/>
  <c r="J87" i="27"/>
  <c r="J88" i="27" s="1"/>
  <c r="I38" i="27"/>
  <c r="I39" i="27" s="1"/>
  <c r="I40" i="27" s="1"/>
  <c r="I153" i="6" s="1"/>
  <c r="I189" i="35" s="1"/>
  <c r="I206" i="35" s="1"/>
  <c r="E24" i="22"/>
  <c r="K92" i="6"/>
  <c r="K109" i="6"/>
  <c r="K117" i="6" s="1"/>
  <c r="K24" i="6"/>
  <c r="K32" i="6" s="1"/>
  <c r="J64" i="27"/>
  <c r="J65" i="27" s="1"/>
  <c r="J15" i="27"/>
  <c r="J16" i="27" s="1"/>
  <c r="J19" i="27" s="1"/>
  <c r="K143" i="6"/>
  <c r="D24" i="22"/>
  <c r="B32" i="22"/>
  <c r="J85" i="27"/>
  <c r="J86" i="27" s="1"/>
  <c r="B24" i="22"/>
  <c r="D32" i="22"/>
  <c r="F24" i="22"/>
  <c r="H82" i="27"/>
  <c r="H273" i="6" s="1"/>
  <c r="H43" i="49" s="1"/>
  <c r="H73" i="49" s="1"/>
  <c r="H129" i="49" s="1"/>
  <c r="I66" i="27"/>
  <c r="I67" i="27" s="1"/>
  <c r="I68" i="27" s="1"/>
  <c r="I24" i="22"/>
  <c r="K81" i="6"/>
  <c r="K13" i="6"/>
  <c r="B30" i="22" s="1"/>
  <c r="K132" i="6"/>
  <c r="K64" i="6"/>
  <c r="E30" i="22" s="1"/>
  <c r="K115" i="6"/>
  <c r="K47" i="6"/>
  <c r="D30" i="22" s="1"/>
  <c r="K98" i="6"/>
  <c r="K30" i="6"/>
  <c r="C30" i="22" s="1"/>
  <c r="K167" i="6"/>
  <c r="K31" i="22" s="1"/>
  <c r="G31" i="22"/>
  <c r="J156" i="6"/>
  <c r="J168" i="6" s="1"/>
  <c r="J94" i="27" s="1"/>
  <c r="J95" i="27" s="1"/>
  <c r="K88" i="6"/>
  <c r="G26" i="22"/>
  <c r="K162" i="6"/>
  <c r="K26" i="22" s="1"/>
  <c r="G22" i="22"/>
  <c r="K158" i="6"/>
  <c r="K22" i="22" s="1"/>
  <c r="K142" i="6"/>
  <c r="F23" i="22"/>
  <c r="G29" i="22"/>
  <c r="K165" i="6"/>
  <c r="K29" i="22" s="1"/>
  <c r="G28" i="22"/>
  <c r="K164" i="6"/>
  <c r="K28" i="22" s="1"/>
  <c r="G25" i="22"/>
  <c r="K161" i="6"/>
  <c r="K25" i="22" s="1"/>
  <c r="K159" i="6"/>
  <c r="K23" i="22" s="1"/>
  <c r="G23" i="22"/>
  <c r="G21" i="22"/>
  <c r="K157" i="6"/>
  <c r="K21" i="22" s="1"/>
  <c r="J28" i="22"/>
  <c r="J29" i="22"/>
  <c r="J20" i="22"/>
  <c r="J22" i="22"/>
  <c r="J27" i="22"/>
  <c r="J25" i="22"/>
  <c r="J26" i="22"/>
  <c r="J31" i="22"/>
  <c r="E19" i="5"/>
  <c r="E21" i="5" s="1"/>
  <c r="K17" i="2"/>
  <c r="E14" i="5"/>
  <c r="E9" i="5"/>
  <c r="E34" i="5" s="1"/>
  <c r="J99" i="27" l="1"/>
  <c r="J100" i="27" s="1"/>
  <c r="J103" i="27" s="1"/>
  <c r="J204" i="6" s="1"/>
  <c r="K50" i="27"/>
  <c r="K51" i="27" s="1"/>
  <c r="J54" i="27"/>
  <c r="J221" i="6" s="1"/>
  <c r="M24" i="22"/>
  <c r="K57" i="27"/>
  <c r="K58" i="27" s="1"/>
  <c r="K236" i="6"/>
  <c r="O20" i="22"/>
  <c r="K59" i="27"/>
  <c r="K60" i="27" s="1"/>
  <c r="P32" i="22"/>
  <c r="J106" i="27"/>
  <c r="J107" i="27" s="1"/>
  <c r="J110" i="27" s="1"/>
  <c r="J238" i="6" s="1"/>
  <c r="L24" i="22"/>
  <c r="J115" i="27"/>
  <c r="J116" i="27" s="1"/>
  <c r="J113" i="27"/>
  <c r="J114" i="27" s="1"/>
  <c r="J222" i="6"/>
  <c r="J35" i="49" s="1"/>
  <c r="J65" i="49" s="1"/>
  <c r="J121" i="49" s="1"/>
  <c r="O24" i="22"/>
  <c r="K185" i="6"/>
  <c r="K43" i="27" s="1"/>
  <c r="K44" i="27" s="1"/>
  <c r="Q20" i="22"/>
  <c r="K270" i="6"/>
  <c r="N32" i="22"/>
  <c r="K52" i="27"/>
  <c r="K53" i="27" s="1"/>
  <c r="K54" i="27" s="1"/>
  <c r="K221" i="6" s="1"/>
  <c r="N34" i="22" s="1"/>
  <c r="I117" i="27"/>
  <c r="I272" i="6" s="1"/>
  <c r="I273" i="6" s="1"/>
  <c r="I43" i="49" s="1"/>
  <c r="I73" i="49" s="1"/>
  <c r="I129" i="49" s="1"/>
  <c r="M20" i="22"/>
  <c r="K202" i="6"/>
  <c r="E36" i="5"/>
  <c r="I136" i="6"/>
  <c r="I137" i="6" s="1"/>
  <c r="I40" i="49" s="1"/>
  <c r="I70" i="49" s="1"/>
  <c r="I126" i="49" s="1"/>
  <c r="I239" i="6"/>
  <c r="I44" i="49" s="1"/>
  <c r="I74" i="49" s="1"/>
  <c r="I130" i="49" s="1"/>
  <c r="I30" i="22"/>
  <c r="K200" i="6"/>
  <c r="M30" i="22" s="1"/>
  <c r="I170" i="6"/>
  <c r="I171" i="6" s="1"/>
  <c r="I41" i="49" s="1"/>
  <c r="I71" i="49" s="1"/>
  <c r="I127" i="49" s="1"/>
  <c r="I205" i="6"/>
  <c r="I45" i="49" s="1"/>
  <c r="I75" i="49" s="1"/>
  <c r="I131" i="49" s="1"/>
  <c r="R23" i="43"/>
  <c r="J23" i="43"/>
  <c r="E16" i="5"/>
  <c r="E39" i="5"/>
  <c r="J86" i="6"/>
  <c r="J30" i="49" s="1"/>
  <c r="J60" i="49" s="1"/>
  <c r="J116" i="49" s="1"/>
  <c r="J171" i="35"/>
  <c r="I255" i="6"/>
  <c r="I256" i="6" s="1"/>
  <c r="I34" i="49" s="1"/>
  <c r="I64" i="49" s="1"/>
  <c r="I120" i="49" s="1"/>
  <c r="I188" i="6"/>
  <c r="I36" i="49" s="1"/>
  <c r="I66" i="49" s="1"/>
  <c r="I122" i="49" s="1"/>
  <c r="J61" i="27"/>
  <c r="J104" i="49"/>
  <c r="J91" i="49"/>
  <c r="F118" i="35"/>
  <c r="D24" i="43"/>
  <c r="H84" i="38"/>
  <c r="G103" i="6"/>
  <c r="G39" i="49" s="1"/>
  <c r="G69" i="49" s="1"/>
  <c r="G125" i="49" s="1"/>
  <c r="G171" i="38"/>
  <c r="G101" i="35"/>
  <c r="G118" i="35" s="1"/>
  <c r="D138" i="36"/>
  <c r="I84" i="35"/>
  <c r="I101" i="35" s="1"/>
  <c r="H84" i="37"/>
  <c r="H87" i="37" s="1"/>
  <c r="K100" i="6"/>
  <c r="K80" i="27" s="1"/>
  <c r="K81" i="27" s="1"/>
  <c r="K17" i="27"/>
  <c r="K18" i="27" s="1"/>
  <c r="I67" i="37"/>
  <c r="I70" i="37" s="1"/>
  <c r="F118" i="38"/>
  <c r="F121" i="38" s="1"/>
  <c r="H70" i="37"/>
  <c r="K151" i="6"/>
  <c r="J50" i="37"/>
  <c r="J53" i="37" s="1"/>
  <c r="E138" i="37"/>
  <c r="L173" i="36"/>
  <c r="I67" i="38"/>
  <c r="I70" i="38" s="1"/>
  <c r="H35" i="6"/>
  <c r="H38" i="49" s="1"/>
  <c r="H68" i="49" s="1"/>
  <c r="H124" i="49" s="1"/>
  <c r="I34" i="6"/>
  <c r="I35" i="6" s="1"/>
  <c r="I38" i="49" s="1"/>
  <c r="I68" i="49" s="1"/>
  <c r="I124" i="49" s="1"/>
  <c r="H102" i="6"/>
  <c r="K87" i="27"/>
  <c r="K88" i="27" s="1"/>
  <c r="J51" i="6"/>
  <c r="J52" i="6" s="1"/>
  <c r="J33" i="49" s="1"/>
  <c r="J63" i="49" s="1"/>
  <c r="J119" i="49" s="1"/>
  <c r="H68" i="6"/>
  <c r="H69" i="6" s="1"/>
  <c r="H42" i="49" s="1"/>
  <c r="H72" i="49" s="1"/>
  <c r="H128" i="49" s="1"/>
  <c r="I102" i="6"/>
  <c r="K15" i="27"/>
  <c r="K16" i="27" s="1"/>
  <c r="F118" i="37"/>
  <c r="F121" i="37" s="1"/>
  <c r="J31" i="27"/>
  <c r="J32" i="27" s="1"/>
  <c r="J33" i="27" s="1"/>
  <c r="J119" i="6" s="1"/>
  <c r="C175" i="38"/>
  <c r="C172" i="38"/>
  <c r="K62" i="36"/>
  <c r="K79" i="36" s="1"/>
  <c r="K96" i="36" s="1"/>
  <c r="K113" i="36" s="1"/>
  <c r="K130" i="36" s="1"/>
  <c r="K147" i="36" s="1"/>
  <c r="K164" i="36" s="1"/>
  <c r="K182" i="36" s="1"/>
  <c r="I89" i="36"/>
  <c r="E20" i="22"/>
  <c r="K66" i="6"/>
  <c r="K64" i="36"/>
  <c r="K81" i="36" s="1"/>
  <c r="K98" i="36" s="1"/>
  <c r="K115" i="36" s="1"/>
  <c r="K132" i="36" s="1"/>
  <c r="K149" i="36" s="1"/>
  <c r="K166" i="36" s="1"/>
  <c r="K184" i="36" s="1"/>
  <c r="F155" i="36"/>
  <c r="F157" i="36"/>
  <c r="G106" i="37"/>
  <c r="G123" i="37" s="1"/>
  <c r="K56" i="36"/>
  <c r="K73" i="36" s="1"/>
  <c r="K90" i="36" s="1"/>
  <c r="K107" i="36" s="1"/>
  <c r="K124" i="36" s="1"/>
  <c r="K141" i="36" s="1"/>
  <c r="K158" i="36" s="1"/>
  <c r="K176" i="36" s="1"/>
  <c r="H89" i="35"/>
  <c r="K8" i="27"/>
  <c r="K9" i="27" s="1"/>
  <c r="J55" i="38"/>
  <c r="K95" i="38"/>
  <c r="K112" i="38" s="1"/>
  <c r="K129" i="38" s="1"/>
  <c r="K146" i="38" s="1"/>
  <c r="K163" i="38" s="1"/>
  <c r="K181" i="38" s="1"/>
  <c r="C175" i="37"/>
  <c r="C172" i="37"/>
  <c r="E155" i="37"/>
  <c r="E157" i="37"/>
  <c r="K57" i="36"/>
  <c r="K74" i="36" s="1"/>
  <c r="K91" i="36" s="1"/>
  <c r="K108" i="36" s="1"/>
  <c r="K125" i="36" s="1"/>
  <c r="K142" i="36" s="1"/>
  <c r="K159" i="36" s="1"/>
  <c r="K177" i="36" s="1"/>
  <c r="J55" i="35"/>
  <c r="J67" i="35" s="1"/>
  <c r="J53" i="35"/>
  <c r="E138" i="38"/>
  <c r="J71" i="27"/>
  <c r="J72" i="27" s="1"/>
  <c r="J73" i="27"/>
  <c r="J74" i="27" s="1"/>
  <c r="K93" i="38"/>
  <c r="K110" i="38" s="1"/>
  <c r="K127" i="38" s="1"/>
  <c r="K144" i="38" s="1"/>
  <c r="K161" i="38" s="1"/>
  <c r="K179" i="38" s="1"/>
  <c r="K58" i="36"/>
  <c r="K75" i="36" s="1"/>
  <c r="K92" i="36" s="1"/>
  <c r="K109" i="36" s="1"/>
  <c r="K126" i="36" s="1"/>
  <c r="K143" i="36" s="1"/>
  <c r="K160" i="36" s="1"/>
  <c r="K178" i="36" s="1"/>
  <c r="J55" i="36"/>
  <c r="J53" i="36"/>
  <c r="K24" i="22"/>
  <c r="E172" i="36"/>
  <c r="E175" i="36"/>
  <c r="E187" i="36" s="1"/>
  <c r="H206" i="36"/>
  <c r="H189" i="36"/>
  <c r="K21" i="35"/>
  <c r="K38" i="35" s="1"/>
  <c r="K19" i="35"/>
  <c r="H106" i="36"/>
  <c r="H123" i="36" s="1"/>
  <c r="K97" i="38"/>
  <c r="K114" i="38" s="1"/>
  <c r="K131" i="38" s="1"/>
  <c r="K148" i="38" s="1"/>
  <c r="K165" i="38" s="1"/>
  <c r="K183" i="38" s="1"/>
  <c r="G118" i="38"/>
  <c r="G121" i="38" s="1"/>
  <c r="E157" i="38"/>
  <c r="E155" i="38"/>
  <c r="D155" i="36"/>
  <c r="D157" i="36"/>
  <c r="L173" i="38"/>
  <c r="C12" i="13"/>
  <c r="K98" i="38"/>
  <c r="K115" i="38" s="1"/>
  <c r="K132" i="38" s="1"/>
  <c r="K149" i="38" s="1"/>
  <c r="K166" i="38" s="1"/>
  <c r="K184" i="38" s="1"/>
  <c r="K59" i="36"/>
  <c r="K76" i="36" s="1"/>
  <c r="K93" i="36" s="1"/>
  <c r="K110" i="36" s="1"/>
  <c r="K127" i="36" s="1"/>
  <c r="K144" i="36" s="1"/>
  <c r="K161" i="36" s="1"/>
  <c r="K179" i="36" s="1"/>
  <c r="I106" i="35"/>
  <c r="K92" i="38"/>
  <c r="K109" i="38" s="1"/>
  <c r="K126" i="38" s="1"/>
  <c r="K143" i="38" s="1"/>
  <c r="K160" i="38" s="1"/>
  <c r="K178" i="38" s="1"/>
  <c r="F104" i="37"/>
  <c r="K90" i="38"/>
  <c r="K107" i="38" s="1"/>
  <c r="K124" i="38" s="1"/>
  <c r="K141" i="38" s="1"/>
  <c r="K158" i="38" s="1"/>
  <c r="K176" i="38" s="1"/>
  <c r="K99" i="38"/>
  <c r="K116" i="38" s="1"/>
  <c r="K133" i="38" s="1"/>
  <c r="K150" i="38" s="1"/>
  <c r="K167" i="38" s="1"/>
  <c r="K185" i="38" s="1"/>
  <c r="K202" i="38" s="1"/>
  <c r="K21" i="36"/>
  <c r="K33" i="36" s="1"/>
  <c r="K19" i="36"/>
  <c r="G106" i="36"/>
  <c r="N16" i="35"/>
  <c r="K91" i="38"/>
  <c r="K108" i="38" s="1"/>
  <c r="K125" i="38" s="1"/>
  <c r="K142" i="38" s="1"/>
  <c r="K159" i="38" s="1"/>
  <c r="K177" i="38" s="1"/>
  <c r="H84" i="35"/>
  <c r="B192" i="38"/>
  <c r="B187" i="38"/>
  <c r="F123" i="37"/>
  <c r="D172" i="37"/>
  <c r="D175" i="37"/>
  <c r="C192" i="37"/>
  <c r="K10" i="27"/>
  <c r="K11" i="27" s="1"/>
  <c r="H206" i="37"/>
  <c r="H189" i="37"/>
  <c r="K21" i="38"/>
  <c r="K38" i="38" s="1"/>
  <c r="K19" i="38"/>
  <c r="G101" i="36"/>
  <c r="I53" i="38"/>
  <c r="N16" i="38"/>
  <c r="I75" i="27"/>
  <c r="G101" i="37"/>
  <c r="G104" i="37" s="1"/>
  <c r="J36" i="37"/>
  <c r="K60" i="36"/>
  <c r="K77" i="36" s="1"/>
  <c r="K94" i="36" s="1"/>
  <c r="K111" i="36" s="1"/>
  <c r="K128" i="36" s="1"/>
  <c r="K145" i="36" s="1"/>
  <c r="K162" i="36" s="1"/>
  <c r="K180" i="36" s="1"/>
  <c r="H101" i="36"/>
  <c r="J50" i="38"/>
  <c r="I154" i="6"/>
  <c r="I32" i="49" s="1"/>
  <c r="I62" i="49" s="1"/>
  <c r="I118" i="49" s="1"/>
  <c r="I171" i="36"/>
  <c r="B192" i="36"/>
  <c r="C192" i="36" s="1"/>
  <c r="B187" i="36"/>
  <c r="K21" i="37"/>
  <c r="K33" i="37" s="1"/>
  <c r="K19" i="37"/>
  <c r="H89" i="38"/>
  <c r="H87" i="38"/>
  <c r="I72" i="38"/>
  <c r="D172" i="38"/>
  <c r="D175" i="38"/>
  <c r="N16" i="36"/>
  <c r="F104" i="38"/>
  <c r="J55" i="37"/>
  <c r="I53" i="37"/>
  <c r="I84" i="36"/>
  <c r="K61" i="36"/>
  <c r="K78" i="36" s="1"/>
  <c r="K95" i="36" s="1"/>
  <c r="K112" i="36" s="1"/>
  <c r="K129" i="36" s="1"/>
  <c r="K146" i="36" s="1"/>
  <c r="K163" i="36" s="1"/>
  <c r="K181" i="36" s="1"/>
  <c r="J92" i="27"/>
  <c r="J93" i="27" s="1"/>
  <c r="J96" i="27" s="1"/>
  <c r="B204" i="37"/>
  <c r="B207" i="37" s="1"/>
  <c r="N16" i="37"/>
  <c r="G135" i="38"/>
  <c r="G152" i="38" s="1"/>
  <c r="G169" i="38" s="1"/>
  <c r="G140" i="38"/>
  <c r="H89" i="37"/>
  <c r="F123" i="38"/>
  <c r="F138" i="36"/>
  <c r="K100" i="38"/>
  <c r="K117" i="38" s="1"/>
  <c r="K134" i="38" s="1"/>
  <c r="K151" i="38" s="1"/>
  <c r="K168" i="38" s="1"/>
  <c r="K186" i="38" s="1"/>
  <c r="I72" i="37"/>
  <c r="H70" i="35"/>
  <c r="J89" i="27"/>
  <c r="J78" i="27"/>
  <c r="J79" i="27" s="1"/>
  <c r="J82" i="27" s="1"/>
  <c r="F32" i="22"/>
  <c r="K24" i="27"/>
  <c r="K25" i="27" s="1"/>
  <c r="J38" i="27"/>
  <c r="J39" i="27" s="1"/>
  <c r="J40" i="27" s="1"/>
  <c r="J153" i="6" s="1"/>
  <c r="J189" i="35" s="1"/>
  <c r="J206" i="35" s="1"/>
  <c r="K85" i="27"/>
  <c r="K86" i="27" s="1"/>
  <c r="J24" i="22"/>
  <c r="C24" i="22"/>
  <c r="K29" i="27"/>
  <c r="K30" i="27" s="1"/>
  <c r="H24" i="22"/>
  <c r="G24" i="22"/>
  <c r="H32" i="22"/>
  <c r="K31" i="27"/>
  <c r="K32" i="27" s="1"/>
  <c r="K22" i="27"/>
  <c r="K23" i="27" s="1"/>
  <c r="J66" i="27"/>
  <c r="J67" i="27" s="1"/>
  <c r="J68" i="27" s="1"/>
  <c r="I32" i="22"/>
  <c r="H30" i="22"/>
  <c r="K166" i="6"/>
  <c r="K30" i="22" s="1"/>
  <c r="G30" i="22"/>
  <c r="F30" i="22"/>
  <c r="K149" i="6"/>
  <c r="J30" i="22" s="1"/>
  <c r="G20" i="22"/>
  <c r="K156" i="6"/>
  <c r="K168" i="6" s="1"/>
  <c r="J23" i="22"/>
  <c r="E11" i="5"/>
  <c r="E24" i="5"/>
  <c r="K61" i="27" l="1"/>
  <c r="K99" i="27"/>
  <c r="K100" i="27" s="1"/>
  <c r="J117" i="27"/>
  <c r="J272" i="6" s="1"/>
  <c r="J273" i="6" s="1"/>
  <c r="J43" i="49" s="1"/>
  <c r="J73" i="49" s="1"/>
  <c r="J129" i="49" s="1"/>
  <c r="O32" i="22"/>
  <c r="K108" i="27"/>
  <c r="K109" i="27" s="1"/>
  <c r="Q32" i="22"/>
  <c r="K115" i="27"/>
  <c r="K116" i="27" s="1"/>
  <c r="K103" i="27"/>
  <c r="K204" i="6" s="1"/>
  <c r="M34" i="22" s="1"/>
  <c r="K113" i="27"/>
  <c r="K114" i="27" s="1"/>
  <c r="M32" i="22"/>
  <c r="K101" i="27"/>
  <c r="K102" i="27" s="1"/>
  <c r="L32" i="22"/>
  <c r="K45" i="27"/>
  <c r="K46" i="27" s="1"/>
  <c r="K47" i="27" s="1"/>
  <c r="K187" i="6" s="1"/>
  <c r="K106" i="27"/>
  <c r="K107" i="27" s="1"/>
  <c r="E41" i="5"/>
  <c r="J136" i="6"/>
  <c r="J137" i="6" s="1"/>
  <c r="J40" i="49" s="1"/>
  <c r="J70" i="49" s="1"/>
  <c r="J126" i="49" s="1"/>
  <c r="J239" i="6"/>
  <c r="J44" i="49" s="1"/>
  <c r="J74" i="49" s="1"/>
  <c r="J130" i="49" s="1"/>
  <c r="J170" i="6"/>
  <c r="J205" i="6"/>
  <c r="J45" i="49" s="1"/>
  <c r="J75" i="49" s="1"/>
  <c r="J131" i="49" s="1"/>
  <c r="L24" i="43"/>
  <c r="V24" i="43" s="1"/>
  <c r="B95" i="46" s="1"/>
  <c r="R24" i="43"/>
  <c r="J255" i="6"/>
  <c r="J256" i="6" s="1"/>
  <c r="J34" i="49" s="1"/>
  <c r="J64" i="49" s="1"/>
  <c r="J120" i="49" s="1"/>
  <c r="J188" i="6"/>
  <c r="J36" i="49" s="1"/>
  <c r="J66" i="49" s="1"/>
  <c r="J122" i="49" s="1"/>
  <c r="K255" i="6"/>
  <c r="S24" i="43"/>
  <c r="C32" i="46" s="1"/>
  <c r="P24" i="43"/>
  <c r="W24" i="43" s="1"/>
  <c r="J24" i="43"/>
  <c r="U24" i="43" s="1"/>
  <c r="F24" i="43"/>
  <c r="H101" i="37"/>
  <c r="H104" i="37" s="1"/>
  <c r="H103" i="6"/>
  <c r="H39" i="49" s="1"/>
  <c r="H69" i="49" s="1"/>
  <c r="H125" i="49" s="1"/>
  <c r="H171" i="38"/>
  <c r="J120" i="6"/>
  <c r="J31" i="49" s="1"/>
  <c r="J61" i="49" s="1"/>
  <c r="J117" i="49" s="1"/>
  <c r="J171" i="37"/>
  <c r="G206" i="38"/>
  <c r="G189" i="38"/>
  <c r="I103" i="6"/>
  <c r="I39" i="49" s="1"/>
  <c r="I69" i="49" s="1"/>
  <c r="I125" i="49" s="1"/>
  <c r="I171" i="38"/>
  <c r="I87" i="35"/>
  <c r="G104" i="35"/>
  <c r="K19" i="27"/>
  <c r="I84" i="37"/>
  <c r="I87" i="37" s="1"/>
  <c r="H118" i="36"/>
  <c r="H121" i="36" s="1"/>
  <c r="G118" i="36"/>
  <c r="G121" i="36" s="1"/>
  <c r="K33" i="38"/>
  <c r="K36" i="38" s="1"/>
  <c r="M36" i="38" s="1"/>
  <c r="K89" i="27"/>
  <c r="I101" i="36"/>
  <c r="I104" i="36" s="1"/>
  <c r="J102" i="6"/>
  <c r="G118" i="37"/>
  <c r="G121" i="37" s="1"/>
  <c r="J34" i="6"/>
  <c r="J35" i="6" s="1"/>
  <c r="J38" i="49" s="1"/>
  <c r="J68" i="49" s="1"/>
  <c r="J124" i="49" s="1"/>
  <c r="K33" i="35"/>
  <c r="K36" i="35" s="1"/>
  <c r="M36" i="35" s="1"/>
  <c r="I68" i="6"/>
  <c r="I69" i="6" s="1"/>
  <c r="I42" i="49" s="1"/>
  <c r="I72" i="49" s="1"/>
  <c r="I128" i="49" s="1"/>
  <c r="H101" i="35"/>
  <c r="H104" i="35" s="1"/>
  <c r="N33" i="37"/>
  <c r="L207" i="37"/>
  <c r="L208" i="37" s="1"/>
  <c r="E172" i="37"/>
  <c r="E175" i="37"/>
  <c r="I89" i="38"/>
  <c r="D192" i="37"/>
  <c r="E192" i="37" s="1"/>
  <c r="F192" i="37" s="1"/>
  <c r="G192" i="37" s="1"/>
  <c r="H192" i="37" s="1"/>
  <c r="I192" i="37" s="1"/>
  <c r="J192" i="37" s="1"/>
  <c r="K192" i="37" s="1"/>
  <c r="G104" i="36"/>
  <c r="K55" i="35"/>
  <c r="J75" i="27"/>
  <c r="K12" i="27"/>
  <c r="F172" i="36"/>
  <c r="F175" i="36"/>
  <c r="F187" i="36" s="1"/>
  <c r="I87" i="36"/>
  <c r="C192" i="38"/>
  <c r="J72" i="38"/>
  <c r="I206" i="36"/>
  <c r="I189" i="36"/>
  <c r="D187" i="37"/>
  <c r="G123" i="36"/>
  <c r="E175" i="38"/>
  <c r="E172" i="38"/>
  <c r="H87" i="35"/>
  <c r="I106" i="36"/>
  <c r="I123" i="36" s="1"/>
  <c r="F135" i="38"/>
  <c r="F152" i="38" s="1"/>
  <c r="F169" i="38" s="1"/>
  <c r="F140" i="38"/>
  <c r="J72" i="37"/>
  <c r="I206" i="37"/>
  <c r="I189" i="37"/>
  <c r="K55" i="38"/>
  <c r="I118" i="35"/>
  <c r="J72" i="36"/>
  <c r="H106" i="35"/>
  <c r="D192" i="36"/>
  <c r="E192" i="36" s="1"/>
  <c r="F192" i="36" s="1"/>
  <c r="G192" i="36" s="1"/>
  <c r="H192" i="36" s="1"/>
  <c r="I192" i="36" s="1"/>
  <c r="J192" i="36" s="1"/>
  <c r="K192" i="36" s="1"/>
  <c r="C204" i="36"/>
  <c r="C207" i="36" s="1"/>
  <c r="K38" i="27"/>
  <c r="K39" i="27" s="1"/>
  <c r="J154" i="6"/>
  <c r="J32" i="49" s="1"/>
  <c r="J62" i="49" s="1"/>
  <c r="J118" i="49" s="1"/>
  <c r="J171" i="36"/>
  <c r="H106" i="38"/>
  <c r="F140" i="37"/>
  <c r="F135" i="37"/>
  <c r="F152" i="37" s="1"/>
  <c r="F169" i="37" s="1"/>
  <c r="E190" i="36"/>
  <c r="C187" i="37"/>
  <c r="C204" i="37" s="1"/>
  <c r="C207" i="37" s="1"/>
  <c r="J67" i="36"/>
  <c r="G157" i="38"/>
  <c r="G155" i="38"/>
  <c r="I89" i="37"/>
  <c r="N33" i="36"/>
  <c r="J67" i="37"/>
  <c r="J70" i="37" s="1"/>
  <c r="K38" i="36"/>
  <c r="K50" i="36" s="1"/>
  <c r="K36" i="36"/>
  <c r="M36" i="36" s="1"/>
  <c r="C22" i="13"/>
  <c r="C13" i="13"/>
  <c r="C21" i="13" s="1"/>
  <c r="J70" i="35"/>
  <c r="J72" i="35"/>
  <c r="J89" i="35" s="1"/>
  <c r="E32" i="22"/>
  <c r="K71" i="27"/>
  <c r="K72" i="27" s="1"/>
  <c r="K73" i="27"/>
  <c r="K74" i="27" s="1"/>
  <c r="B204" i="38"/>
  <c r="B207" i="38" s="1"/>
  <c r="H104" i="36"/>
  <c r="C187" i="38"/>
  <c r="C190" i="38" s="1"/>
  <c r="K20" i="22"/>
  <c r="K94" i="27"/>
  <c r="K95" i="27" s="1"/>
  <c r="H106" i="37"/>
  <c r="H123" i="37" s="1"/>
  <c r="K38" i="37"/>
  <c r="K55" i="37" s="1"/>
  <c r="K36" i="37"/>
  <c r="M36" i="37" s="1"/>
  <c r="J67" i="38"/>
  <c r="K26" i="27"/>
  <c r="K85" i="6" s="1"/>
  <c r="K171" i="35" s="1"/>
  <c r="G138" i="38"/>
  <c r="D187" i="38"/>
  <c r="D190" i="38" s="1"/>
  <c r="B190" i="36"/>
  <c r="L190" i="36" s="1"/>
  <c r="B204" i="36"/>
  <c r="B207" i="36" s="1"/>
  <c r="B190" i="38"/>
  <c r="L190" i="38" s="1"/>
  <c r="C14" i="13" s="1"/>
  <c r="C20" i="13" s="1"/>
  <c r="I104" i="35"/>
  <c r="D175" i="36"/>
  <c r="D187" i="36" s="1"/>
  <c r="D172" i="36"/>
  <c r="H135" i="36"/>
  <c r="H152" i="36" s="1"/>
  <c r="H169" i="36" s="1"/>
  <c r="H140" i="36"/>
  <c r="J53" i="38"/>
  <c r="G140" i="37"/>
  <c r="G135" i="37"/>
  <c r="G152" i="37" s="1"/>
  <c r="G169" i="37" s="1"/>
  <c r="I84" i="38"/>
  <c r="H101" i="38"/>
  <c r="J171" i="6"/>
  <c r="J41" i="49" s="1"/>
  <c r="J71" i="49" s="1"/>
  <c r="J127" i="49" s="1"/>
  <c r="K33" i="27"/>
  <c r="K119" i="6" s="1"/>
  <c r="K171" i="37" s="1"/>
  <c r="K36" i="27"/>
  <c r="K37" i="27" s="1"/>
  <c r="K78" i="27"/>
  <c r="K79" i="27" s="1"/>
  <c r="K82" i="27" s="1"/>
  <c r="C32" i="22"/>
  <c r="K66" i="27"/>
  <c r="K67" i="27" s="1"/>
  <c r="K64" i="27"/>
  <c r="K65" i="27" s="1"/>
  <c r="G32" i="22"/>
  <c r="J32" i="22"/>
  <c r="E26" i="5"/>
  <c r="K110" i="27" l="1"/>
  <c r="K238" i="6" s="1"/>
  <c r="O34" i="22" s="1"/>
  <c r="K117" i="27"/>
  <c r="K272" i="6" s="1"/>
  <c r="Q34" i="22" s="1"/>
  <c r="K273" i="6"/>
  <c r="Q35" i="22" s="1"/>
  <c r="L34" i="22"/>
  <c r="K188" i="6"/>
  <c r="K43" i="49"/>
  <c r="K73" i="49" s="1"/>
  <c r="K129" i="49" s="1"/>
  <c r="L129" i="49" s="1"/>
  <c r="G39" i="5"/>
  <c r="K256" i="6"/>
  <c r="P34" i="22"/>
  <c r="K136" i="6"/>
  <c r="K137" i="6" s="1"/>
  <c r="G19" i="5" s="1"/>
  <c r="G20" i="5" s="1"/>
  <c r="K239" i="6"/>
  <c r="N24" i="43"/>
  <c r="Y24" i="43" s="1"/>
  <c r="D95" i="46" s="1"/>
  <c r="K36" i="49"/>
  <c r="K66" i="49" s="1"/>
  <c r="K122" i="49" s="1"/>
  <c r="L122" i="49" s="1"/>
  <c r="K51" i="6"/>
  <c r="K52" i="6" s="1"/>
  <c r="K222" i="6"/>
  <c r="T24" i="43"/>
  <c r="C95" i="46" s="1"/>
  <c r="H24" i="43"/>
  <c r="J103" i="6"/>
  <c r="J39" i="49" s="1"/>
  <c r="J69" i="49" s="1"/>
  <c r="J125" i="49" s="1"/>
  <c r="J171" i="38"/>
  <c r="H189" i="38"/>
  <c r="H206" i="38"/>
  <c r="I101" i="37"/>
  <c r="I104" i="37" s="1"/>
  <c r="K50" i="35"/>
  <c r="N50" i="35" s="1"/>
  <c r="N33" i="35"/>
  <c r="H118" i="35"/>
  <c r="F138" i="37"/>
  <c r="J84" i="38"/>
  <c r="J87" i="38" s="1"/>
  <c r="K50" i="38"/>
  <c r="N50" i="38" s="1"/>
  <c r="I101" i="38"/>
  <c r="I104" i="38" s="1"/>
  <c r="N33" i="38"/>
  <c r="J68" i="6"/>
  <c r="J69" i="6" s="1"/>
  <c r="J42" i="49" s="1"/>
  <c r="J72" i="49" s="1"/>
  <c r="J128" i="49" s="1"/>
  <c r="I206" i="38"/>
  <c r="I189" i="38"/>
  <c r="K40" i="27"/>
  <c r="K153" i="6" s="1"/>
  <c r="K189" i="35" s="1"/>
  <c r="K102" i="6"/>
  <c r="H118" i="38"/>
  <c r="H121" i="38" s="1"/>
  <c r="K32" i="22"/>
  <c r="G138" i="37"/>
  <c r="E204" i="36"/>
  <c r="E207" i="36" s="1"/>
  <c r="K75" i="27"/>
  <c r="L207" i="38"/>
  <c r="L208" i="38" s="1"/>
  <c r="E187" i="37"/>
  <c r="E204" i="37" s="1"/>
  <c r="E207" i="37" s="1"/>
  <c r="J84" i="35"/>
  <c r="F190" i="36"/>
  <c r="F204" i="36"/>
  <c r="F207" i="36" s="1"/>
  <c r="K55" i="36"/>
  <c r="K72" i="36" s="1"/>
  <c r="K53" i="36"/>
  <c r="M53" i="36" s="1"/>
  <c r="J84" i="36"/>
  <c r="J87" i="36" s="1"/>
  <c r="H104" i="38"/>
  <c r="J70" i="36"/>
  <c r="F138" i="38"/>
  <c r="E187" i="38"/>
  <c r="J70" i="38"/>
  <c r="K17" i="6"/>
  <c r="K72" i="37"/>
  <c r="D190" i="36"/>
  <c r="D204" i="36"/>
  <c r="D207" i="36" s="1"/>
  <c r="J89" i="36"/>
  <c r="J84" i="37"/>
  <c r="J87" i="37" s="1"/>
  <c r="H123" i="38"/>
  <c r="F155" i="38"/>
  <c r="F157" i="38"/>
  <c r="G135" i="36"/>
  <c r="G152" i="36" s="1"/>
  <c r="G169" i="36" s="1"/>
  <c r="G140" i="36"/>
  <c r="J89" i="38"/>
  <c r="H118" i="37"/>
  <c r="H121" i="37" s="1"/>
  <c r="L207" i="36"/>
  <c r="L208" i="36" s="1"/>
  <c r="N50" i="36"/>
  <c r="C190" i="37"/>
  <c r="I87" i="38"/>
  <c r="K50" i="37"/>
  <c r="F155" i="37"/>
  <c r="F157" i="37"/>
  <c r="H138" i="36"/>
  <c r="J106" i="35"/>
  <c r="J206" i="36"/>
  <c r="J189" i="36"/>
  <c r="K72" i="38"/>
  <c r="I135" i="36"/>
  <c r="I152" i="36" s="1"/>
  <c r="I169" i="36" s="1"/>
  <c r="I140" i="36"/>
  <c r="D204" i="37"/>
  <c r="D207" i="37" s="1"/>
  <c r="C204" i="38"/>
  <c r="C207" i="38" s="1"/>
  <c r="D192" i="38"/>
  <c r="E192" i="38" s="1"/>
  <c r="F192" i="38" s="1"/>
  <c r="G192" i="38" s="1"/>
  <c r="H192" i="38" s="1"/>
  <c r="I192" i="38" s="1"/>
  <c r="J192" i="38" s="1"/>
  <c r="K192" i="38" s="1"/>
  <c r="K72" i="35"/>
  <c r="K89" i="35" s="1"/>
  <c r="I106" i="38"/>
  <c r="I106" i="37"/>
  <c r="H135" i="37"/>
  <c r="H152" i="37" s="1"/>
  <c r="H169" i="37" s="1"/>
  <c r="H140" i="37"/>
  <c r="G172" i="38"/>
  <c r="G175" i="38"/>
  <c r="G187" i="38" s="1"/>
  <c r="J89" i="37"/>
  <c r="G155" i="37"/>
  <c r="G157" i="37"/>
  <c r="H155" i="36"/>
  <c r="H157" i="36"/>
  <c r="J206" i="37"/>
  <c r="J189" i="37"/>
  <c r="D190" i="37"/>
  <c r="I118" i="36"/>
  <c r="I121" i="36" s="1"/>
  <c r="K92" i="27"/>
  <c r="K93" i="27" s="1"/>
  <c r="K96" i="27" s="1"/>
  <c r="K120" i="6"/>
  <c r="K68" i="27"/>
  <c r="H34" i="22"/>
  <c r="B44" i="1"/>
  <c r="B53" i="1"/>
  <c r="B45" i="1"/>
  <c r="P35" i="22" l="1"/>
  <c r="F39" i="5"/>
  <c r="N35" i="22"/>
  <c r="R7" i="43"/>
  <c r="F34" i="5"/>
  <c r="G41" i="5"/>
  <c r="G40" i="5"/>
  <c r="K33" i="49"/>
  <c r="K63" i="49" s="1"/>
  <c r="K119" i="49" s="1"/>
  <c r="L119" i="49" s="1"/>
  <c r="J7" i="43"/>
  <c r="F9" i="5"/>
  <c r="L35" i="22"/>
  <c r="F29" i="5"/>
  <c r="P7" i="43"/>
  <c r="F19" i="5"/>
  <c r="O35" i="22"/>
  <c r="G34" i="5"/>
  <c r="K44" i="49"/>
  <c r="K74" i="49" s="1"/>
  <c r="K130" i="49" s="1"/>
  <c r="L130" i="49" s="1"/>
  <c r="X24" i="43"/>
  <c r="E95" i="46" s="1"/>
  <c r="K34" i="49"/>
  <c r="K64" i="49" s="1"/>
  <c r="K120" i="49" s="1"/>
  <c r="L120" i="49" s="1"/>
  <c r="D35" i="22"/>
  <c r="K40" i="49"/>
  <c r="K70" i="49" s="1"/>
  <c r="K126" i="49" s="1"/>
  <c r="L126" i="49" s="1"/>
  <c r="I35" i="22"/>
  <c r="I34" i="22"/>
  <c r="J16" i="43"/>
  <c r="D34" i="22"/>
  <c r="K170" i="6"/>
  <c r="K34" i="22" s="1"/>
  <c r="K205" i="6"/>
  <c r="K206" i="35"/>
  <c r="K35" i="49"/>
  <c r="K65" i="49" s="1"/>
  <c r="K121" i="49" s="1"/>
  <c r="L121" i="49" s="1"/>
  <c r="H35" i="22"/>
  <c r="K31" i="49"/>
  <c r="K61" i="49" s="1"/>
  <c r="K117" i="49" s="1"/>
  <c r="L117" i="49" s="1"/>
  <c r="K103" i="6"/>
  <c r="K171" i="38"/>
  <c r="J34" i="22"/>
  <c r="G21" i="5"/>
  <c r="J101" i="38"/>
  <c r="J104" i="38" s="1"/>
  <c r="K53" i="35"/>
  <c r="M53" i="35" s="1"/>
  <c r="K67" i="35"/>
  <c r="K70" i="35" s="1"/>
  <c r="I118" i="38"/>
  <c r="I121" i="38" s="1"/>
  <c r="K67" i="36"/>
  <c r="K70" i="36" s="1"/>
  <c r="M70" i="36" s="1"/>
  <c r="K53" i="38"/>
  <c r="M53" i="38" s="1"/>
  <c r="K67" i="38"/>
  <c r="K70" i="38" s="1"/>
  <c r="H138" i="37"/>
  <c r="G34" i="22"/>
  <c r="K68" i="6"/>
  <c r="E34" i="22" s="1"/>
  <c r="K171" i="36"/>
  <c r="K189" i="36" s="1"/>
  <c r="K206" i="37"/>
  <c r="K154" i="6"/>
  <c r="K34" i="6"/>
  <c r="J189" i="38"/>
  <c r="J206" i="38"/>
  <c r="D204" i="38"/>
  <c r="D207" i="38" s="1"/>
  <c r="I138" i="36"/>
  <c r="G138" i="36"/>
  <c r="G190" i="38"/>
  <c r="G204" i="38"/>
  <c r="G207" i="38" s="1"/>
  <c r="H175" i="36"/>
  <c r="H172" i="36"/>
  <c r="K106" i="35"/>
  <c r="K89" i="37"/>
  <c r="H155" i="37"/>
  <c r="H157" i="37"/>
  <c r="K89" i="38"/>
  <c r="F172" i="37"/>
  <c r="F175" i="37"/>
  <c r="H135" i="38"/>
  <c r="H152" i="38" s="1"/>
  <c r="H169" i="38" s="1"/>
  <c r="H140" i="38"/>
  <c r="F34" i="22"/>
  <c r="K86" i="6"/>
  <c r="I123" i="38"/>
  <c r="G172" i="37"/>
  <c r="G175" i="37"/>
  <c r="J106" i="38"/>
  <c r="J101" i="37"/>
  <c r="K18" i="6"/>
  <c r="B34" i="22"/>
  <c r="F172" i="38"/>
  <c r="F175" i="38"/>
  <c r="J101" i="36"/>
  <c r="J104" i="36" s="1"/>
  <c r="I123" i="37"/>
  <c r="K53" i="37"/>
  <c r="M53" i="37" s="1"/>
  <c r="K67" i="37"/>
  <c r="N50" i="37"/>
  <c r="G155" i="36"/>
  <c r="G157" i="36"/>
  <c r="J106" i="36"/>
  <c r="E204" i="38"/>
  <c r="E207" i="38" s="1"/>
  <c r="J87" i="35"/>
  <c r="J101" i="35"/>
  <c r="E190" i="37"/>
  <c r="I157" i="36"/>
  <c r="I155" i="36"/>
  <c r="B37" i="1"/>
  <c r="B25" i="1" s="1"/>
  <c r="J106" i="37"/>
  <c r="E190" i="38"/>
  <c r="K89" i="36"/>
  <c r="K106" i="36" s="1"/>
  <c r="I118" i="37"/>
  <c r="I121" i="37" s="1"/>
  <c r="G36" i="5" l="1"/>
  <c r="G35" i="5"/>
  <c r="K30" i="49"/>
  <c r="K60" i="49" s="1"/>
  <c r="K116" i="49" s="1"/>
  <c r="L116" i="49" s="1"/>
  <c r="L7" i="43"/>
  <c r="F14" i="5"/>
  <c r="K18" i="49"/>
  <c r="K48" i="49" s="1"/>
  <c r="K91" i="49" s="1"/>
  <c r="L91" i="49" s="1"/>
  <c r="F7" i="43"/>
  <c r="F4" i="5"/>
  <c r="F31" i="5"/>
  <c r="F30" i="5"/>
  <c r="M35" i="22"/>
  <c r="G29" i="5"/>
  <c r="K45" i="49"/>
  <c r="K75" i="49" s="1"/>
  <c r="K131" i="49" s="1"/>
  <c r="L131" i="49" s="1"/>
  <c r="F41" i="5"/>
  <c r="F40" i="5"/>
  <c r="R16" i="43"/>
  <c r="F36" i="5"/>
  <c r="F35" i="5"/>
  <c r="K171" i="6"/>
  <c r="K41" i="49" s="1"/>
  <c r="K71" i="49" s="1"/>
  <c r="K127" i="49" s="1"/>
  <c r="L127" i="49" s="1"/>
  <c r="U7" i="43"/>
  <c r="F10" i="5"/>
  <c r="F11" i="5"/>
  <c r="G35" i="22"/>
  <c r="K39" i="49"/>
  <c r="K69" i="49" s="1"/>
  <c r="K125" i="49" s="1"/>
  <c r="L125" i="49" s="1"/>
  <c r="J35" i="22"/>
  <c r="K32" i="49"/>
  <c r="K62" i="49" s="1"/>
  <c r="K118" i="49" s="1"/>
  <c r="L118" i="49" s="1"/>
  <c r="K189" i="38"/>
  <c r="G14" i="5"/>
  <c r="G16" i="5" s="1"/>
  <c r="U16" i="43"/>
  <c r="D37" i="43"/>
  <c r="E37" i="43"/>
  <c r="F21" i="5"/>
  <c r="W7" i="43"/>
  <c r="K84" i="35"/>
  <c r="N84" i="35" s="1"/>
  <c r="N67" i="35"/>
  <c r="N67" i="38"/>
  <c r="M70" i="35"/>
  <c r="M70" i="38"/>
  <c r="K69" i="6"/>
  <c r="K84" i="38"/>
  <c r="K101" i="38" s="1"/>
  <c r="K104" i="38" s="1"/>
  <c r="N67" i="36"/>
  <c r="K84" i="36"/>
  <c r="N84" i="36" s="1"/>
  <c r="K189" i="37"/>
  <c r="K206" i="36"/>
  <c r="K35" i="6"/>
  <c r="C34" i="22"/>
  <c r="K206" i="38"/>
  <c r="F24" i="5"/>
  <c r="J118" i="37"/>
  <c r="J121" i="37" s="1"/>
  <c r="B35" i="22"/>
  <c r="J118" i="36"/>
  <c r="J121" i="36" s="1"/>
  <c r="J123" i="36"/>
  <c r="G172" i="36"/>
  <c r="G175" i="36"/>
  <c r="G187" i="36" s="1"/>
  <c r="F187" i="37"/>
  <c r="F204" i="37" s="1"/>
  <c r="F207" i="37" s="1"/>
  <c r="I172" i="36"/>
  <c r="I175" i="36"/>
  <c r="J123" i="38"/>
  <c r="H155" i="38"/>
  <c r="H157" i="38"/>
  <c r="F187" i="38"/>
  <c r="F204" i="38" s="1"/>
  <c r="F207" i="38" s="1"/>
  <c r="K106" i="37"/>
  <c r="H187" i="36"/>
  <c r="H204" i="36" s="1"/>
  <c r="H207" i="36" s="1"/>
  <c r="J104" i="37"/>
  <c r="J118" i="35"/>
  <c r="J104" i="35"/>
  <c r="N67" i="37"/>
  <c r="K84" i="37"/>
  <c r="K70" i="37"/>
  <c r="M70" i="37" s="1"/>
  <c r="G187" i="37"/>
  <c r="G204" i="37" s="1"/>
  <c r="G207" i="37" s="1"/>
  <c r="F35" i="22"/>
  <c r="V7" i="43"/>
  <c r="K106" i="38"/>
  <c r="I135" i="38"/>
  <c r="I152" i="38" s="1"/>
  <c r="I169" i="38" s="1"/>
  <c r="I140" i="38"/>
  <c r="J123" i="37"/>
  <c r="J118" i="38"/>
  <c r="J121" i="38" s="1"/>
  <c r="K123" i="36"/>
  <c r="I140" i="37"/>
  <c r="I135" i="37"/>
  <c r="I152" i="37" s="1"/>
  <c r="I169" i="37" s="1"/>
  <c r="H138" i="38"/>
  <c r="H172" i="37"/>
  <c r="H175" i="37"/>
  <c r="H187" i="37" s="1"/>
  <c r="F20" i="5"/>
  <c r="B33" i="1"/>
  <c r="B27" i="1"/>
  <c r="B29" i="1"/>
  <c r="B28" i="1"/>
  <c r="B36" i="1"/>
  <c r="B35" i="1"/>
  <c r="B34" i="1"/>
  <c r="B22" i="1"/>
  <c r="B32" i="1"/>
  <c r="B23" i="1"/>
  <c r="B24" i="1"/>
  <c r="B26" i="1"/>
  <c r="B30" i="1"/>
  <c r="B31" i="1"/>
  <c r="B18" i="6"/>
  <c r="G31" i="5" l="1"/>
  <c r="G30" i="5"/>
  <c r="B18" i="49"/>
  <c r="B28" i="49" s="1"/>
  <c r="B58" i="49" s="1"/>
  <c r="B114" i="49" s="1"/>
  <c r="E7" i="43"/>
  <c r="C4" i="5"/>
  <c r="K104" i="49"/>
  <c r="K35" i="22"/>
  <c r="G24" i="5"/>
  <c r="G26" i="5" s="1"/>
  <c r="G15" i="5"/>
  <c r="C35" i="22"/>
  <c r="K38" i="49"/>
  <c r="K68" i="49" s="1"/>
  <c r="K124" i="49" s="1"/>
  <c r="L124" i="49" s="1"/>
  <c r="E35" i="22"/>
  <c r="K42" i="49"/>
  <c r="K72" i="49" s="1"/>
  <c r="K128" i="49" s="1"/>
  <c r="L128" i="49" s="1"/>
  <c r="B26" i="49"/>
  <c r="B56" i="49" s="1"/>
  <c r="B112" i="49" s="1"/>
  <c r="B25" i="49"/>
  <c r="B55" i="49" s="1"/>
  <c r="B111" i="49" s="1"/>
  <c r="B27" i="49"/>
  <c r="B57" i="49" s="1"/>
  <c r="B113" i="49" s="1"/>
  <c r="H7" i="43"/>
  <c r="H16" i="43" s="1"/>
  <c r="T7" i="43"/>
  <c r="N7" i="43"/>
  <c r="N16" i="43" s="1"/>
  <c r="Y16" i="43" s="1"/>
  <c r="L16" i="43"/>
  <c r="F16" i="43"/>
  <c r="B50" i="43" s="1"/>
  <c r="P16" i="43"/>
  <c r="W16" i="43" s="1"/>
  <c r="K101" i="35"/>
  <c r="N101" i="35" s="1"/>
  <c r="K87" i="35"/>
  <c r="M87" i="35" s="1"/>
  <c r="F26" i="5"/>
  <c r="K87" i="38"/>
  <c r="M87" i="38" s="1"/>
  <c r="N84" i="38"/>
  <c r="K101" i="36"/>
  <c r="K104" i="36" s="1"/>
  <c r="G9" i="5"/>
  <c r="G10" i="5" s="1"/>
  <c r="K87" i="36"/>
  <c r="M87" i="36" s="1"/>
  <c r="G4" i="5"/>
  <c r="G5" i="5" s="1"/>
  <c r="F25" i="5"/>
  <c r="I138" i="38"/>
  <c r="I157" i="37"/>
  <c r="I155" i="37"/>
  <c r="I155" i="38"/>
  <c r="I157" i="38"/>
  <c r="G190" i="37"/>
  <c r="H190" i="36"/>
  <c r="N101" i="38"/>
  <c r="K118" i="38"/>
  <c r="N118" i="38" s="1"/>
  <c r="K140" i="36"/>
  <c r="K135" i="36"/>
  <c r="K138" i="36" s="1"/>
  <c r="K101" i="37"/>
  <c r="N84" i="37"/>
  <c r="K87" i="37"/>
  <c r="M87" i="37" s="1"/>
  <c r="K123" i="37"/>
  <c r="F190" i="37"/>
  <c r="K123" i="38"/>
  <c r="G190" i="36"/>
  <c r="G204" i="36"/>
  <c r="G207" i="36" s="1"/>
  <c r="H190" i="37"/>
  <c r="H204" i="37"/>
  <c r="H207" i="37" s="1"/>
  <c r="J135" i="38"/>
  <c r="J152" i="38" s="1"/>
  <c r="J169" i="38" s="1"/>
  <c r="J140" i="38"/>
  <c r="F6" i="5"/>
  <c r="F5" i="5"/>
  <c r="J135" i="37"/>
  <c r="J152" i="37" s="1"/>
  <c r="J169" i="37" s="1"/>
  <c r="J140" i="37"/>
  <c r="F15" i="5"/>
  <c r="F16" i="5"/>
  <c r="F190" i="38"/>
  <c r="I187" i="36"/>
  <c r="I204" i="36" s="1"/>
  <c r="I207" i="36" s="1"/>
  <c r="I138" i="37"/>
  <c r="H172" i="38"/>
  <c r="H175" i="38"/>
  <c r="H187" i="38" s="1"/>
  <c r="J140" i="36"/>
  <c r="J135" i="36"/>
  <c r="J152" i="36" s="1"/>
  <c r="J169" i="36" s="1"/>
  <c r="B17" i="22"/>
  <c r="B48" i="49" l="1"/>
  <c r="G25" i="5"/>
  <c r="B98" i="49"/>
  <c r="B100" i="49"/>
  <c r="B101" i="49"/>
  <c r="B99" i="49"/>
  <c r="B104" i="49"/>
  <c r="L104" i="49" s="1"/>
  <c r="B91" i="49"/>
  <c r="K25" i="49"/>
  <c r="K55" i="49" s="1"/>
  <c r="K111" i="49" s="1"/>
  <c r="I25" i="49"/>
  <c r="I55" i="49" s="1"/>
  <c r="I111" i="49" s="1"/>
  <c r="F25" i="49"/>
  <c r="F55" i="49" s="1"/>
  <c r="F111" i="49" s="1"/>
  <c r="J25" i="49"/>
  <c r="J55" i="49" s="1"/>
  <c r="J111" i="49" s="1"/>
  <c r="B24" i="49"/>
  <c r="B54" i="49" s="1"/>
  <c r="B110" i="49" s="1"/>
  <c r="E25" i="49"/>
  <c r="E55" i="49" s="1"/>
  <c r="E111" i="49" s="1"/>
  <c r="C25" i="49"/>
  <c r="C55" i="49" s="1"/>
  <c r="C111" i="49" s="1"/>
  <c r="D25" i="49"/>
  <c r="D55" i="49" s="1"/>
  <c r="D111" i="49" s="1"/>
  <c r="H25" i="49"/>
  <c r="H55" i="49" s="1"/>
  <c r="H111" i="49" s="1"/>
  <c r="G25" i="49"/>
  <c r="G55" i="49" s="1"/>
  <c r="G111" i="49" s="1"/>
  <c r="C27" i="49"/>
  <c r="C57" i="49" s="1"/>
  <c r="C113" i="49" s="1"/>
  <c r="I27" i="49"/>
  <c r="I57" i="49" s="1"/>
  <c r="I113" i="49" s="1"/>
  <c r="F27" i="49"/>
  <c r="F57" i="49" s="1"/>
  <c r="F113" i="49" s="1"/>
  <c r="D27" i="49"/>
  <c r="D57" i="49" s="1"/>
  <c r="D113" i="49" s="1"/>
  <c r="G27" i="49"/>
  <c r="G57" i="49" s="1"/>
  <c r="G113" i="49" s="1"/>
  <c r="H27" i="49"/>
  <c r="H57" i="49" s="1"/>
  <c r="H113" i="49" s="1"/>
  <c r="K27" i="49"/>
  <c r="K57" i="49" s="1"/>
  <c r="K113" i="49" s="1"/>
  <c r="E27" i="49"/>
  <c r="E57" i="49" s="1"/>
  <c r="E113" i="49" s="1"/>
  <c r="J27" i="49"/>
  <c r="J57" i="49" s="1"/>
  <c r="J113" i="49" s="1"/>
  <c r="H28" i="49"/>
  <c r="H58" i="49" s="1"/>
  <c r="H114" i="49" s="1"/>
  <c r="J28" i="49"/>
  <c r="J58" i="49" s="1"/>
  <c r="J114" i="49" s="1"/>
  <c r="I28" i="49"/>
  <c r="I58" i="49" s="1"/>
  <c r="I114" i="49" s="1"/>
  <c r="K28" i="49"/>
  <c r="K58" i="49" s="1"/>
  <c r="K114" i="49" s="1"/>
  <c r="C28" i="49"/>
  <c r="C58" i="49" s="1"/>
  <c r="C114" i="49" s="1"/>
  <c r="D28" i="49"/>
  <c r="D58" i="49" s="1"/>
  <c r="D114" i="49" s="1"/>
  <c r="G28" i="49"/>
  <c r="G58" i="49" s="1"/>
  <c r="G114" i="49" s="1"/>
  <c r="F28" i="49"/>
  <c r="F58" i="49" s="1"/>
  <c r="F114" i="49" s="1"/>
  <c r="E28" i="49"/>
  <c r="E58" i="49" s="1"/>
  <c r="E114" i="49" s="1"/>
  <c r="C26" i="49"/>
  <c r="C56" i="49" s="1"/>
  <c r="C112" i="49" s="1"/>
  <c r="D26" i="49"/>
  <c r="D56" i="49" s="1"/>
  <c r="D112" i="49" s="1"/>
  <c r="F26" i="49"/>
  <c r="F56" i="49" s="1"/>
  <c r="F112" i="49" s="1"/>
  <c r="E26" i="49"/>
  <c r="E56" i="49" s="1"/>
  <c r="E112" i="49" s="1"/>
  <c r="J26" i="49"/>
  <c r="J56" i="49" s="1"/>
  <c r="J112" i="49" s="1"/>
  <c r="I26" i="49"/>
  <c r="I56" i="49" s="1"/>
  <c r="I112" i="49" s="1"/>
  <c r="H26" i="49"/>
  <c r="H56" i="49" s="1"/>
  <c r="H112" i="49" s="1"/>
  <c r="G26" i="49"/>
  <c r="G56" i="49" s="1"/>
  <c r="G112" i="49" s="1"/>
  <c r="K26" i="49"/>
  <c r="K56" i="49" s="1"/>
  <c r="K112" i="49" s="1"/>
  <c r="B51" i="43"/>
  <c r="V16" i="43"/>
  <c r="B94" i="46" s="1"/>
  <c r="Y7" i="43"/>
  <c r="X7" i="43"/>
  <c r="T16" i="43"/>
  <c r="C94" i="46" s="1"/>
  <c r="C5" i="5"/>
  <c r="K104" i="35"/>
  <c r="M104" i="35" s="1"/>
  <c r="K118" i="35"/>
  <c r="K118" i="36"/>
  <c r="K121" i="36" s="1"/>
  <c r="M121" i="36" s="1"/>
  <c r="N101" i="36"/>
  <c r="M104" i="36"/>
  <c r="G11" i="5"/>
  <c r="M104" i="38"/>
  <c r="G6" i="5"/>
  <c r="K121" i="38"/>
  <c r="M121" i="38" s="1"/>
  <c r="J138" i="36"/>
  <c r="H190" i="38"/>
  <c r="H204" i="38"/>
  <c r="H207" i="38" s="1"/>
  <c r="J157" i="37"/>
  <c r="J155" i="37"/>
  <c r="J138" i="38"/>
  <c r="K135" i="38"/>
  <c r="K138" i="38" s="1"/>
  <c r="K140" i="38"/>
  <c r="K157" i="38" s="1"/>
  <c r="N135" i="36"/>
  <c r="K152" i="36"/>
  <c r="K155" i="36" s="1"/>
  <c r="M155" i="36" s="1"/>
  <c r="J138" i="37"/>
  <c r="J155" i="38"/>
  <c r="J157" i="38"/>
  <c r="K157" i="36"/>
  <c r="K140" i="37"/>
  <c r="K157" i="37" s="1"/>
  <c r="K175" i="37" s="1"/>
  <c r="K135" i="37"/>
  <c r="K138" i="37" s="1"/>
  <c r="I175" i="38"/>
  <c r="I172" i="38"/>
  <c r="I190" i="36"/>
  <c r="J155" i="36"/>
  <c r="J157" i="36"/>
  <c r="N101" i="37"/>
  <c r="K118" i="37"/>
  <c r="K104" i="37"/>
  <c r="M104" i="37" s="1"/>
  <c r="I172" i="37"/>
  <c r="I175" i="37"/>
  <c r="C6" i="5"/>
  <c r="B97" i="49" l="1"/>
  <c r="K99" i="49"/>
  <c r="C99" i="49"/>
  <c r="J101" i="49"/>
  <c r="F100" i="49"/>
  <c r="G99" i="49"/>
  <c r="E101" i="49"/>
  <c r="H101" i="49"/>
  <c r="I100" i="49"/>
  <c r="J98" i="49"/>
  <c r="F101" i="49"/>
  <c r="C100" i="49"/>
  <c r="G101" i="49"/>
  <c r="J99" i="49"/>
  <c r="D101" i="49"/>
  <c r="K100" i="49"/>
  <c r="H98" i="49"/>
  <c r="K98" i="49"/>
  <c r="J100" i="49"/>
  <c r="I99" i="49"/>
  <c r="E100" i="49"/>
  <c r="E99" i="49"/>
  <c r="C101" i="49"/>
  <c r="H100" i="49"/>
  <c r="D98" i="49"/>
  <c r="G98" i="49"/>
  <c r="F99" i="49"/>
  <c r="K101" i="49"/>
  <c r="G100" i="49"/>
  <c r="C98" i="49"/>
  <c r="H99" i="49"/>
  <c r="F98" i="49"/>
  <c r="I98" i="49"/>
  <c r="D99" i="49"/>
  <c r="I101" i="49"/>
  <c r="D100" i="49"/>
  <c r="E98" i="49"/>
  <c r="K24" i="49"/>
  <c r="K54" i="49" s="1"/>
  <c r="K110" i="49" s="1"/>
  <c r="H24" i="49"/>
  <c r="H54" i="49" s="1"/>
  <c r="H110" i="49" s="1"/>
  <c r="D24" i="49"/>
  <c r="D54" i="49" s="1"/>
  <c r="D110" i="49" s="1"/>
  <c r="C24" i="49"/>
  <c r="C54" i="49" s="1"/>
  <c r="C110" i="49" s="1"/>
  <c r="E24" i="49"/>
  <c r="E54" i="49" s="1"/>
  <c r="E110" i="49" s="1"/>
  <c r="J24" i="49"/>
  <c r="J54" i="49" s="1"/>
  <c r="J110" i="49" s="1"/>
  <c r="F24" i="49"/>
  <c r="F54" i="49" s="1"/>
  <c r="F110" i="49" s="1"/>
  <c r="G24" i="49"/>
  <c r="G54" i="49" s="1"/>
  <c r="G110" i="49" s="1"/>
  <c r="I24" i="49"/>
  <c r="I54" i="49" s="1"/>
  <c r="I110" i="49" s="1"/>
  <c r="C50" i="43"/>
  <c r="X16" i="43"/>
  <c r="E94" i="46" s="1"/>
  <c r="C51" i="43"/>
  <c r="D94" i="46"/>
  <c r="E16" i="43"/>
  <c r="B55" i="43" s="1"/>
  <c r="C55" i="43" s="1"/>
  <c r="G7" i="43"/>
  <c r="G16" i="43" s="1"/>
  <c r="N118" i="36"/>
  <c r="M138" i="38"/>
  <c r="K152" i="38"/>
  <c r="N135" i="38"/>
  <c r="J175" i="38"/>
  <c r="J172" i="38"/>
  <c r="N135" i="37"/>
  <c r="K152" i="37"/>
  <c r="J175" i="37"/>
  <c r="J172" i="37"/>
  <c r="N118" i="37"/>
  <c r="K121" i="37"/>
  <c r="M121" i="37" s="1"/>
  <c r="J172" i="36"/>
  <c r="J175" i="36"/>
  <c r="K169" i="36"/>
  <c r="N152" i="36"/>
  <c r="I187" i="37"/>
  <c r="I204" i="37" s="1"/>
  <c r="I207" i="37" s="1"/>
  <c r="K175" i="36"/>
  <c r="I187" i="38"/>
  <c r="I204" i="38" s="1"/>
  <c r="I207" i="38" s="1"/>
  <c r="K175" i="38"/>
  <c r="M138" i="36"/>
  <c r="F6" i="13"/>
  <c r="B123" i="35"/>
  <c r="L100" i="49" l="1"/>
  <c r="L98" i="49"/>
  <c r="L101" i="49"/>
  <c r="L114" i="49"/>
  <c r="L99" i="49"/>
  <c r="I97" i="49"/>
  <c r="K97" i="49"/>
  <c r="G97" i="49"/>
  <c r="F97" i="49"/>
  <c r="E97" i="49"/>
  <c r="L112" i="49"/>
  <c r="D97" i="49"/>
  <c r="L111" i="49"/>
  <c r="L113" i="49"/>
  <c r="J97" i="49"/>
  <c r="C97" i="49"/>
  <c r="H97" i="49"/>
  <c r="C52" i="46"/>
  <c r="D76" i="46" s="1"/>
  <c r="K187" i="36"/>
  <c r="K190" i="36" s="1"/>
  <c r="N169" i="36"/>
  <c r="K155" i="37"/>
  <c r="M155" i="37" s="1"/>
  <c r="K169" i="37"/>
  <c r="N152" i="37"/>
  <c r="J187" i="36"/>
  <c r="J204" i="36" s="1"/>
  <c r="J207" i="36" s="1"/>
  <c r="I190" i="38"/>
  <c r="J187" i="38"/>
  <c r="J204" i="38" s="1"/>
  <c r="J207" i="38" s="1"/>
  <c r="K155" i="38"/>
  <c r="M155" i="38" s="1"/>
  <c r="N152" i="38"/>
  <c r="K169" i="38"/>
  <c r="K172" i="36"/>
  <c r="M172" i="36" s="1"/>
  <c r="M173" i="36" s="1"/>
  <c r="I190" i="37"/>
  <c r="J187" i="37"/>
  <c r="J204" i="37" s="1"/>
  <c r="J207" i="37" s="1"/>
  <c r="M138" i="37"/>
  <c r="B140" i="35"/>
  <c r="B157" i="35" s="1"/>
  <c r="B135" i="35"/>
  <c r="B152" i="35" s="1"/>
  <c r="B169" i="35" s="1"/>
  <c r="B175" i="35" l="1"/>
  <c r="B192" i="35" s="1"/>
  <c r="C192" i="35" s="1"/>
  <c r="B172" i="35"/>
  <c r="L110" i="49"/>
  <c r="L97" i="49"/>
  <c r="B96" i="46"/>
  <c r="C96" i="46"/>
  <c r="E96" i="46"/>
  <c r="D96" i="46"/>
  <c r="B187" i="35"/>
  <c r="B204" i="35" s="1"/>
  <c r="N169" i="38"/>
  <c r="K187" i="38"/>
  <c r="K172" i="38"/>
  <c r="M172" i="38" s="1"/>
  <c r="M173" i="38" s="1"/>
  <c r="J190" i="36"/>
  <c r="K172" i="37"/>
  <c r="M172" i="37" s="1"/>
  <c r="M173" i="37" s="1"/>
  <c r="N169" i="37"/>
  <c r="K187" i="37"/>
  <c r="M190" i="36"/>
  <c r="J190" i="37"/>
  <c r="J190" i="38"/>
  <c r="M187" i="36"/>
  <c r="K204" i="36"/>
  <c r="B138" i="35"/>
  <c r="B155" i="35"/>
  <c r="H11" i="13" s="1"/>
  <c r="H12" i="13" l="1"/>
  <c r="B190" i="35"/>
  <c r="M187" i="37"/>
  <c r="K204" i="37"/>
  <c r="K190" i="37"/>
  <c r="M190" i="37" s="1"/>
  <c r="N204" i="36"/>
  <c r="K207" i="36"/>
  <c r="K190" i="38"/>
  <c r="M190" i="38" s="1"/>
  <c r="M187" i="38"/>
  <c r="K204" i="38"/>
  <c r="L155" i="35"/>
  <c r="B11" i="13" s="1"/>
  <c r="L172" i="35"/>
  <c r="B12" i="13" s="1"/>
  <c r="B121" i="35"/>
  <c r="H9" i="13" s="1"/>
  <c r="H10" i="13" l="1"/>
  <c r="H13" i="13" s="1"/>
  <c r="L190" i="35"/>
  <c r="B14" i="13" s="1"/>
  <c r="B20" i="13" s="1"/>
  <c r="H14" i="13"/>
  <c r="L121" i="35"/>
  <c r="B9" i="13" s="1"/>
  <c r="B25" i="13" s="1"/>
  <c r="N204" i="38"/>
  <c r="K207" i="38"/>
  <c r="M207" i="36"/>
  <c r="M208" i="36" s="1"/>
  <c r="K208" i="36"/>
  <c r="B22" i="13"/>
  <c r="F12" i="13"/>
  <c r="N204" i="37"/>
  <c r="K207" i="37"/>
  <c r="B23" i="13"/>
  <c r="F11" i="13"/>
  <c r="L138" i="35"/>
  <c r="D192" i="35"/>
  <c r="B207" i="35"/>
  <c r="L207" i="35" s="1"/>
  <c r="F9" i="13" l="1"/>
  <c r="L173" i="35"/>
  <c r="L208" i="35" s="1"/>
  <c r="B10" i="13"/>
  <c r="M207" i="37"/>
  <c r="K208" i="37"/>
  <c r="K208" i="38"/>
  <c r="M207" i="38"/>
  <c r="E192" i="35"/>
  <c r="C123" i="35"/>
  <c r="C121" i="35"/>
  <c r="M208" i="38" l="1"/>
  <c r="C15" i="13"/>
  <c r="C19" i="13" s="1"/>
  <c r="E15" i="13"/>
  <c r="M208" i="37"/>
  <c r="B24" i="13"/>
  <c r="F10" i="13"/>
  <c r="B13" i="13"/>
  <c r="D123" i="35"/>
  <c r="C140" i="35"/>
  <c r="C135" i="35"/>
  <c r="C152" i="35" s="1"/>
  <c r="C169" i="35" s="1"/>
  <c r="D121" i="35"/>
  <c r="F192" i="35"/>
  <c r="F13" i="13" l="1"/>
  <c r="B21" i="13"/>
  <c r="E123" i="35"/>
  <c r="C155" i="35"/>
  <c r="C157" i="35"/>
  <c r="E121" i="35"/>
  <c r="C138" i="35"/>
  <c r="G192" i="35"/>
  <c r="D140" i="35"/>
  <c r="D135" i="35"/>
  <c r="D152" i="35" s="1"/>
  <c r="D169" i="35" s="1"/>
  <c r="C172" i="35" l="1"/>
  <c r="C175" i="35"/>
  <c r="F123" i="35"/>
  <c r="D138" i="35"/>
  <c r="D155" i="35"/>
  <c r="D157" i="35"/>
  <c r="E135" i="35"/>
  <c r="E152" i="35" s="1"/>
  <c r="E169" i="35" s="1"/>
  <c r="E140" i="35"/>
  <c r="F121" i="35"/>
  <c r="H192" i="35"/>
  <c r="C187" i="35" l="1"/>
  <c r="D172" i="35"/>
  <c r="D175" i="35"/>
  <c r="E138" i="35"/>
  <c r="I192" i="35"/>
  <c r="E155" i="35"/>
  <c r="E157" i="35"/>
  <c r="G121" i="35"/>
  <c r="G123" i="35"/>
  <c r="F140" i="35"/>
  <c r="F135" i="35"/>
  <c r="F152" i="35" s="1"/>
  <c r="F169" i="35" s="1"/>
  <c r="C190" i="35" l="1"/>
  <c r="C204" i="35"/>
  <c r="C207" i="35" s="1"/>
  <c r="D187" i="35"/>
  <c r="E172" i="35"/>
  <c r="E175" i="35"/>
  <c r="J192" i="35"/>
  <c r="F138" i="35"/>
  <c r="F157" i="35"/>
  <c r="F155" i="35"/>
  <c r="H121" i="35"/>
  <c r="H123" i="35"/>
  <c r="G140" i="35"/>
  <c r="G135" i="35"/>
  <c r="G152" i="35" s="1"/>
  <c r="G169" i="35" s="1"/>
  <c r="D190" i="35" l="1"/>
  <c r="D204" i="35"/>
  <c r="D207" i="35" s="1"/>
  <c r="E187" i="35"/>
  <c r="F172" i="35"/>
  <c r="F175" i="35"/>
  <c r="K192" i="35"/>
  <c r="I123" i="35"/>
  <c r="G138" i="35"/>
  <c r="G155" i="35"/>
  <c r="G157" i="35"/>
  <c r="H135" i="35"/>
  <c r="H152" i="35" s="1"/>
  <c r="H169" i="35" s="1"/>
  <c r="H140" i="35"/>
  <c r="I121" i="35"/>
  <c r="E190" i="35" l="1"/>
  <c r="E204" i="35"/>
  <c r="E207" i="35" s="1"/>
  <c r="F187" i="35"/>
  <c r="G172" i="35"/>
  <c r="G175" i="35"/>
  <c r="H138" i="35"/>
  <c r="J123" i="35"/>
  <c r="J121" i="35"/>
  <c r="H157" i="35"/>
  <c r="H155" i="35"/>
  <c r="I135" i="35"/>
  <c r="I152" i="35" s="1"/>
  <c r="I169" i="35" s="1"/>
  <c r="I140" i="35"/>
  <c r="F190" i="35" l="1"/>
  <c r="F204" i="35"/>
  <c r="F207" i="35" s="1"/>
  <c r="G187" i="35"/>
  <c r="H172" i="35"/>
  <c r="H175" i="35"/>
  <c r="I138" i="35"/>
  <c r="K123" i="35"/>
  <c r="N118" i="35"/>
  <c r="I157" i="35"/>
  <c r="I155" i="35"/>
  <c r="J135" i="35"/>
  <c r="J152" i="35" s="1"/>
  <c r="J169" i="35" s="1"/>
  <c r="J140" i="35"/>
  <c r="G190" i="35" l="1"/>
  <c r="G204" i="35"/>
  <c r="G207" i="35" s="1"/>
  <c r="H187" i="35"/>
  <c r="I172" i="35"/>
  <c r="I175" i="35"/>
  <c r="K135" i="35"/>
  <c r="K138" i="35" s="1"/>
  <c r="K140" i="35"/>
  <c r="J138" i="35"/>
  <c r="J157" i="35"/>
  <c r="J155" i="35"/>
  <c r="K121" i="35"/>
  <c r="M121" i="35" s="1"/>
  <c r="H190" i="35" l="1"/>
  <c r="H204" i="35"/>
  <c r="H207" i="35" s="1"/>
  <c r="I187" i="35"/>
  <c r="J172" i="35"/>
  <c r="J175" i="35"/>
  <c r="M138" i="35"/>
  <c r="K157" i="35"/>
  <c r="K175" i="35" s="1"/>
  <c r="K152" i="35"/>
  <c r="N135" i="35"/>
  <c r="I190" i="35" l="1"/>
  <c r="I204" i="35"/>
  <c r="I207" i="35" s="1"/>
  <c r="J187" i="35"/>
  <c r="K169" i="35"/>
  <c r="N152" i="35"/>
  <c r="K155" i="35"/>
  <c r="M155" i="35" s="1"/>
  <c r="J190" i="35" l="1"/>
  <c r="J204" i="35"/>
  <c r="J207" i="35" s="1"/>
  <c r="K172" i="35"/>
  <c r="M172" i="35" s="1"/>
  <c r="M173" i="35" s="1"/>
  <c r="K187" i="35"/>
  <c r="N169" i="35"/>
  <c r="K204" i="35" l="1"/>
  <c r="K190" i="35"/>
  <c r="M190" i="35" s="1"/>
  <c r="M187" i="35"/>
  <c r="K207" i="35"/>
  <c r="N204" i="35"/>
  <c r="M207" i="35" l="1"/>
  <c r="B15" i="13" s="1"/>
  <c r="B19" i="13" s="1"/>
  <c r="K208" i="35"/>
  <c r="M208" i="3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<sst xmlns="http://schemas.openxmlformats.org/spreadsheetml/2006/main" count="3920" uniqueCount="1067">
  <si>
    <t>Other</t>
  </si>
  <si>
    <t>2022 (Year 1) changes</t>
  </si>
  <si>
    <t>Current policy</t>
  </si>
  <si>
    <t>Total health expenditures for covered population ($B)</t>
  </si>
  <si>
    <t>Hospital Care</t>
  </si>
  <si>
    <t>Physician and Clinical Services</t>
  </si>
  <si>
    <t>Other Professional Services</t>
  </si>
  <si>
    <t>Dental Services</t>
  </si>
  <si>
    <t>Other Health, Residential, and Personal Care</t>
  </si>
  <si>
    <t>Home Health Care</t>
  </si>
  <si>
    <t>Nursing Care Facilities and Continuing Care Retirement Communities</t>
  </si>
  <si>
    <t>Durable Medical Equipment</t>
  </si>
  <si>
    <t>Government Administration</t>
  </si>
  <si>
    <t>Government Public Health Activities</t>
  </si>
  <si>
    <t>Total health expenditures</t>
  </si>
  <si>
    <t>Assumed annual growth rates</t>
  </si>
  <si>
    <t>Other Non-Durable Medical Products</t>
  </si>
  <si>
    <t>Prescription Drugs</t>
  </si>
  <si>
    <t xml:space="preserve">Prescription Drugs </t>
  </si>
  <si>
    <t>Option A</t>
  </si>
  <si>
    <t>Option B</t>
  </si>
  <si>
    <t>Unadjusted expenditures baseline</t>
  </si>
  <si>
    <t xml:space="preserve"> Table 2 
National Health Expenditures; Aggregate, Annual Percent Change, Percent Distribution and Per Capita Amounts, by Type of Expenditure: Selected Calendar Years 1960-2019</t>
  </si>
  <si>
    <t>Type of Expenditure</t>
  </si>
  <si>
    <t>Amount in Billions</t>
  </si>
  <si>
    <t>National Health Expenditures</t>
  </si>
  <si>
    <t xml:space="preserve">     Health Consumption Expenditures</t>
  </si>
  <si>
    <t xml:space="preserve">          Personal Health Care</t>
  </si>
  <si>
    <t xml:space="preserve">               Hospital Care</t>
  </si>
  <si>
    <t xml:space="preserve">               Professional Services</t>
  </si>
  <si>
    <t xml:space="preserve">                    Physician and Clinical Services</t>
  </si>
  <si>
    <t xml:space="preserve">                    Other Professional Services</t>
  </si>
  <si>
    <t xml:space="preserve">                    Dental Services</t>
  </si>
  <si>
    <r>
      <t xml:space="preserve">          </t>
    </r>
    <r>
      <rPr>
        <vertAlign val="superscript"/>
        <sz val="7"/>
        <rFont val="Arial"/>
        <family val="2"/>
      </rPr>
      <t xml:space="preserve">       </t>
    </r>
    <r>
      <rPr>
        <sz val="7"/>
        <rFont val="Arial"/>
        <family val="2"/>
      </rPr>
      <t>Other Health, Residential, and Personal Care</t>
    </r>
    <r>
      <rPr>
        <vertAlign val="superscript"/>
        <sz val="7"/>
        <rFont val="Arial"/>
        <family val="2"/>
      </rPr>
      <t>1</t>
    </r>
  </si>
  <si>
    <r>
      <t xml:space="preserve">               Home Health Care</t>
    </r>
    <r>
      <rPr>
        <vertAlign val="superscript"/>
        <sz val="7"/>
        <rFont val="Arial"/>
        <family val="2"/>
      </rPr>
      <t>2</t>
    </r>
  </si>
  <si>
    <r>
      <t xml:space="preserve">               </t>
    </r>
    <r>
      <rPr>
        <sz val="7"/>
        <rFont val="Arial"/>
        <family val="2"/>
      </rPr>
      <t>Nursing Care Facilities and Continuing Care Retirement Communities</t>
    </r>
    <r>
      <rPr>
        <vertAlign val="superscript"/>
        <sz val="7"/>
        <rFont val="Arial"/>
        <family val="2"/>
      </rPr>
      <t>2, 3</t>
    </r>
    <r>
      <rPr>
        <sz val="7"/>
        <rFont val="Arial"/>
        <family val="2"/>
      </rPr>
      <t xml:space="preserve"> </t>
    </r>
  </si>
  <si>
    <t xml:space="preserve">               Retail Outlet Sales of Medical Products</t>
  </si>
  <si>
    <t xml:space="preserve">                    Prescription Drugs</t>
  </si>
  <si>
    <t xml:space="preserve">                    Durable Medical Equipment</t>
  </si>
  <si>
    <t xml:space="preserve">                    Other Non-Durable Medical Products</t>
  </si>
  <si>
    <r>
      <t xml:space="preserve">          Government Administration</t>
    </r>
    <r>
      <rPr>
        <vertAlign val="superscript"/>
        <sz val="7"/>
        <rFont val="Arial"/>
        <family val="2"/>
      </rPr>
      <t>4</t>
    </r>
  </si>
  <si>
    <r>
      <t xml:space="preserve">          Net Cost of Health Insurance</t>
    </r>
    <r>
      <rPr>
        <vertAlign val="superscript"/>
        <sz val="7"/>
        <rFont val="Arial"/>
        <family val="2"/>
      </rPr>
      <t>5</t>
    </r>
  </si>
  <si>
    <t xml:space="preserve">          Government Public Health Activities</t>
  </si>
  <si>
    <t xml:space="preserve">     Investment</t>
  </si>
  <si>
    <r>
      <t xml:space="preserve">          </t>
    </r>
    <r>
      <rPr>
        <sz val="7"/>
        <rFont val="Arial"/>
        <family val="2"/>
      </rPr>
      <t>Research</t>
    </r>
    <r>
      <rPr>
        <vertAlign val="superscript"/>
        <sz val="7"/>
        <rFont val="Arial"/>
        <family val="2"/>
      </rPr>
      <t>6</t>
    </r>
  </si>
  <si>
    <t xml:space="preserve">          Structures and Equipment</t>
  </si>
  <si>
    <t xml:space="preserve">Average Annual Percent Change from Previous Year Shown </t>
  </si>
  <si>
    <t xml:space="preserve"> </t>
  </si>
  <si>
    <t xml:space="preserve"> Table 2 - Continued
National Health Expenditures; Aggregate,  Annual Percent Change, Percent Distribution and Per Capita Amounts, by Type of Expenditure: Selected Calendar Years 1960-2017</t>
  </si>
  <si>
    <t>Percent Distribution</t>
  </si>
  <si>
    <t>Per Capita Amount</t>
  </si>
  <si>
    <r>
      <rPr>
        <vertAlign val="superscript"/>
        <sz val="7"/>
        <rFont val="Arial"/>
        <family val="2"/>
      </rPr>
      <t>1</t>
    </r>
    <r>
      <rPr>
        <sz val="7"/>
        <rFont val="Arial"/>
        <family val="2"/>
      </rPr>
      <t xml:space="preserve"> Includes expenditures for residential care facilities (NAICS 623210 and 623220), ambulance providers (NAICS 621910), medical care delivered in non-traditional settings (such as community centers, senior citizens centers, schools, and military field stations), and expenditures for Home and Community Based Waiver programs under Medicaid.</t>
    </r>
  </si>
  <si>
    <r>
      <rPr>
        <vertAlign val="superscript"/>
        <sz val="7"/>
        <rFont val="Arial"/>
        <family val="2"/>
      </rPr>
      <t>2</t>
    </r>
    <r>
      <rPr>
        <sz val="7"/>
        <rFont val="Arial"/>
        <family val="2"/>
      </rPr>
      <t xml:space="preserve"> Includes freestanding facilities only. Additional services of this type provided in hospital-based facilities are counted as hospital care.</t>
    </r>
  </si>
  <si>
    <r>
      <rPr>
        <vertAlign val="superscript"/>
        <sz val="7"/>
        <rFont val="Arial"/>
        <family val="2"/>
      </rPr>
      <t>3</t>
    </r>
    <r>
      <rPr>
        <sz val="7"/>
        <rFont val="Arial"/>
        <family val="2"/>
      </rPr>
      <t xml:space="preserve"> Includes care provided in nursing care facilities (NAICS 6231), continuing care retirement communities (623311), state and local government nursing facilities, and nursing facilities operated by the Department of Veterans Affairs.</t>
    </r>
  </si>
  <si>
    <r>
      <rPr>
        <vertAlign val="superscript"/>
        <sz val="7"/>
        <rFont val="Arial"/>
        <family val="2"/>
      </rPr>
      <t>4</t>
    </r>
    <r>
      <rPr>
        <sz val="7"/>
        <rFont val="Arial"/>
        <family val="2"/>
      </rPr>
      <t xml:space="preserve"> Includes all administrative costs (federal and state and local employees' salaries, contracted employees including fiscal intermediaries, rent and building costs, computer systems and programs, other materials and supplies, and other miscellaneous expenses) associated with insuring individuals enrolled in the following health insurance programs:  Medicare, Medicaid, Children's Health Insurance Program, Department of Defense, Department of Veterans Affairs, Indian Health Service, workers' compensation, maternal and child health, vocational rehabilitation, Substance Abuse and Mental Health Services Administration, and other federal programs.</t>
    </r>
  </si>
  <si>
    <r>
      <rPr>
        <vertAlign val="superscript"/>
        <sz val="7"/>
        <rFont val="Arial"/>
        <family val="2"/>
      </rPr>
      <t>5</t>
    </r>
    <r>
      <rPr>
        <sz val="7"/>
        <rFont val="Arial"/>
        <family val="2"/>
      </rPr>
      <t xml:space="preserve"> Net cost of health insurance is calculated as the difference between CY incurred premiums earned and benefits paid for private health insurance.  This includes administrative costs, and in some cases, additions to reserves, rate credits and dividends, premium taxes, and plan profits or losses. Also included in this category is the difference between premiums earned and benefits paid for the private health insurance companies that insure the enrollees of the following programs: Medicare, Medicaid, Children's Health Insurance Program, and workers' compensation (health portion only). </t>
    </r>
  </si>
  <si>
    <r>
      <rPr>
        <vertAlign val="superscript"/>
        <sz val="7"/>
        <rFont val="Arial"/>
        <family val="2"/>
      </rPr>
      <t xml:space="preserve">6 </t>
    </r>
    <r>
      <rPr>
        <sz val="7"/>
        <rFont val="Arial"/>
        <family val="2"/>
      </rPr>
      <t>Research and development expenditures of drug companies and other manufacturers and providers of medical equipment and supplies are excluded from "research expenditures" but are included in the expenditure class in which the product falls.</t>
    </r>
  </si>
  <si>
    <t>NOTE: Numbers may not add to totals due to rounding.  Dollar amounts shown are in current dollars. Percent changes and percent distributions are calculated from unrounded data.</t>
  </si>
  <si>
    <t>SOURCE: Centers for Medicare &amp; Medicaid Services, Office of the Actuary, National Health Statistics Group.</t>
  </si>
  <si>
    <t>Table 2
National Health Expenditure Amounts and Annual Percent Change by Type of Expenditure: Calendar Years 2012-2028</t>
  </si>
  <si>
    <t xml:space="preserve">   </t>
  </si>
  <si>
    <t xml:space="preserve">  </t>
  </si>
  <si>
    <t>Projected</t>
  </si>
  <si>
    <t>Type of Expenditure (billions $)</t>
  </si>
  <si>
    <t>Health Consumption Expenditures</t>
  </si>
  <si>
    <t>Personal Health Care</t>
  </si>
  <si>
    <t>Professional Services</t>
  </si>
  <si>
    <t>Nursing Care Facilities and Continuing Care 
     Retirement Communities</t>
  </si>
  <si>
    <t>Retail Outlet Sales of Medical Products</t>
  </si>
  <si>
    <t>Other Medical Products</t>
  </si>
  <si>
    <t>Net Cost of Private Health Insurance</t>
  </si>
  <si>
    <t>Investment</t>
  </si>
  <si>
    <r>
      <t>Research</t>
    </r>
    <r>
      <rPr>
        <vertAlign val="superscript"/>
        <sz val="7"/>
        <color indexed="8"/>
        <rFont val="Arial"/>
        <family val="2"/>
      </rPr>
      <t>1</t>
    </r>
    <r>
      <rPr>
        <sz val="7"/>
        <color indexed="8"/>
        <rFont val="Arial"/>
        <family val="2"/>
      </rPr>
      <t xml:space="preserve"> </t>
    </r>
  </si>
  <si>
    <t>Structures &amp; Equipment</t>
  </si>
  <si>
    <r>
      <rPr>
        <u/>
        <sz val="7"/>
        <rFont val="Arial"/>
        <family val="2"/>
      </rPr>
      <t>Annual Percent Change by Type of Expenditure(%)</t>
    </r>
    <r>
      <rPr>
        <sz val="11"/>
        <color theme="1"/>
        <rFont val="Calibri"/>
        <family val="2"/>
        <scheme val="minor"/>
      </rPr>
      <t xml:space="preserve">
National Health Expenditures</t>
    </r>
  </si>
  <si>
    <t>—</t>
  </si>
  <si>
    <t xml:space="preserve">Health Consumption Expenditures </t>
  </si>
  <si>
    <t xml:space="preserve">Hospital Care </t>
  </si>
  <si>
    <t xml:space="preserve">Professional Services </t>
  </si>
  <si>
    <t xml:space="preserve">Dental Services </t>
  </si>
  <si>
    <t xml:space="preserve">Other Health, Residential, and Personal Care </t>
  </si>
  <si>
    <t xml:space="preserve">Home Health Care </t>
  </si>
  <si>
    <t xml:space="preserve">Durable Medical Equipment </t>
  </si>
  <si>
    <t xml:space="preserve">Net Cost of Private Health Insurance </t>
  </si>
  <si>
    <t xml:space="preserve">Investment </t>
  </si>
  <si>
    <r>
      <t xml:space="preserve">1 </t>
    </r>
    <r>
      <rPr>
        <sz val="7"/>
        <color indexed="8"/>
        <rFont val="Arial"/>
        <family val="2"/>
      </rPr>
      <t>Research and development expenditures of drug companies and other manufacturers and providers of medical equipment and supplies are excluded from research expenditures. These research expenditures are implicitly included in the expenditure class in which the product falls, in that they are covered by the payment received for that product.</t>
    </r>
  </si>
  <si>
    <t>NOTE:  Numbers may not add to totals because of rounding.</t>
  </si>
  <si>
    <t>SOURCE: Centers for Medicare &amp; Medicaid Services, Office of the Actuary.</t>
  </si>
  <si>
    <t>Medicare (CMS)</t>
  </si>
  <si>
    <t>Private health insurance (CMS)</t>
  </si>
  <si>
    <t>Other (remainder from CMS)</t>
  </si>
  <si>
    <t>Expenditures baseline adjusted to reflect higher-than-average Medicaid growth in CA and exclude expenditures for VA, TRICARE, Indian Health Services</t>
  </si>
  <si>
    <t>Unadjusted expenditures baseline for federal programs that will serve as primary coverage</t>
  </si>
  <si>
    <t>VA</t>
  </si>
  <si>
    <t>Indian Health Services</t>
  </si>
  <si>
    <t xml:space="preserve"> Table 4 
National Health Expenditures by Source of Funds and Type of Expenditure: Calendar Years 2012-2019        </t>
  </si>
  <si>
    <t>Health Insurance</t>
  </si>
  <si>
    <t>Year and Type of Expenditure</t>
  </si>
  <si>
    <t>Total</t>
  </si>
  <si>
    <t>Out of Pocket</t>
  </si>
  <si>
    <t>Private Health Insurance</t>
  </si>
  <si>
    <t>Medicare</t>
  </si>
  <si>
    <t>Medicaid</t>
  </si>
  <si>
    <r>
      <t>Other Health Insurance Programs</t>
    </r>
    <r>
      <rPr>
        <b/>
        <vertAlign val="superscript"/>
        <sz val="8"/>
        <rFont val="Arial"/>
        <family val="2"/>
      </rPr>
      <t>1</t>
    </r>
  </si>
  <si>
    <r>
      <t>Other Third Party Payers</t>
    </r>
    <r>
      <rPr>
        <b/>
        <vertAlign val="superscript"/>
        <sz val="8"/>
        <rFont val="Arial"/>
        <family val="2"/>
      </rPr>
      <t>2</t>
    </r>
  </si>
  <si>
    <t>Year 2012</t>
  </si>
  <si>
    <t xml:space="preserve">      Health Consumption Expenditures</t>
  </si>
  <si>
    <t xml:space="preserve">              Personal Health Care</t>
  </si>
  <si>
    <t xml:space="preserve">                     Hospital Care</t>
  </si>
  <si>
    <t xml:space="preserve">                     Professional Services</t>
  </si>
  <si>
    <t xml:space="preserve">                            Physician and Clinical Services</t>
  </si>
  <si>
    <t xml:space="preserve">                            Other Professional Services</t>
  </si>
  <si>
    <t xml:space="preserve">                            Dental Services</t>
  </si>
  <si>
    <r>
      <t xml:space="preserve">                    Other Health, Residential, and Personal Care</t>
    </r>
    <r>
      <rPr>
        <vertAlign val="superscript"/>
        <sz val="7"/>
        <rFont val="Arial"/>
        <family val="2"/>
      </rPr>
      <t>3</t>
    </r>
  </si>
  <si>
    <r>
      <t xml:space="preserve">                     Home Health Care</t>
    </r>
    <r>
      <rPr>
        <vertAlign val="superscript"/>
        <sz val="7"/>
        <rFont val="Arial"/>
        <family val="2"/>
      </rPr>
      <t>4</t>
    </r>
  </si>
  <si>
    <r>
      <t xml:space="preserve">                     Nursing Care Facilities and Continuing Care Retirement Communities</t>
    </r>
    <r>
      <rPr>
        <vertAlign val="superscript"/>
        <sz val="7"/>
        <rFont val="Arial"/>
        <family val="2"/>
      </rPr>
      <t>4, 5</t>
    </r>
  </si>
  <si>
    <t xml:space="preserve">                     Retail Outlet Sales of Medical Products</t>
  </si>
  <si>
    <t xml:space="preserve">                            Prescription Drugs</t>
  </si>
  <si>
    <t xml:space="preserve">                            Durable Medical Equipment</t>
  </si>
  <si>
    <t xml:space="preserve">                            Other Non-Durable Medical Products</t>
  </si>
  <si>
    <r>
      <t xml:space="preserve">              Government Administration</t>
    </r>
    <r>
      <rPr>
        <vertAlign val="superscript"/>
        <sz val="7"/>
        <rFont val="Arial"/>
        <family val="2"/>
      </rPr>
      <t>6</t>
    </r>
    <r>
      <rPr>
        <sz val="7"/>
        <rFont val="Arial"/>
        <family val="2"/>
      </rPr>
      <t xml:space="preserve"> </t>
    </r>
  </si>
  <si>
    <r>
      <t xml:space="preserve">              Net Cost of Health Insurance</t>
    </r>
    <r>
      <rPr>
        <vertAlign val="superscript"/>
        <sz val="7"/>
        <rFont val="Arial"/>
        <family val="2"/>
      </rPr>
      <t>7</t>
    </r>
  </si>
  <si>
    <t xml:space="preserve">              Government Public Health Activities</t>
  </si>
  <si>
    <t xml:space="preserve">      Investment</t>
  </si>
  <si>
    <r>
      <t xml:space="preserve">               Research</t>
    </r>
    <r>
      <rPr>
        <vertAlign val="superscript"/>
        <sz val="7"/>
        <rFont val="Arial"/>
        <family val="2"/>
      </rPr>
      <t>8</t>
    </r>
  </si>
  <si>
    <t xml:space="preserve">               Structures and Equipment</t>
  </si>
  <si>
    <t>Year 2013</t>
  </si>
  <si>
    <t xml:space="preserve"> Table 4 - Continued 
National Health Expenditures by Source of Funds and Type of Expenditure: Calendar Years 2012-2019          </t>
  </si>
  <si>
    <t>Year 2014</t>
  </si>
  <si>
    <t>Year 2015</t>
  </si>
  <si>
    <t xml:space="preserve"> Table 4 - Continued 
National Health Expenditures by Source of Funds and Type of Expenditure: Calendar Years 2012-2019         </t>
  </si>
  <si>
    <t>Year 2016</t>
  </si>
  <si>
    <t>Year 2017</t>
  </si>
  <si>
    <t xml:space="preserve"> Table 4 - Continued 
National Health Expenditures by Source of Funds and Type of Expenditure: Calendar Years 2012-2019        </t>
  </si>
  <si>
    <t>Year 2018</t>
  </si>
  <si>
    <t>Year 2019</t>
  </si>
  <si>
    <r>
      <rPr>
        <vertAlign val="superscript"/>
        <sz val="7"/>
        <color indexed="8"/>
        <rFont val="Arial"/>
        <family val="2"/>
      </rPr>
      <t xml:space="preserve">1 </t>
    </r>
    <r>
      <rPr>
        <sz val="7"/>
        <color indexed="8"/>
        <rFont val="Arial"/>
        <family val="2"/>
      </rPr>
      <t>Includes Children's Health Insurance Program (Titles XIX and XXI), Department of Defense, and Department of Veterans Affairs.</t>
    </r>
  </si>
  <si>
    <r>
      <rPr>
        <vertAlign val="superscript"/>
        <sz val="7"/>
        <color indexed="8"/>
        <rFont val="Arial"/>
        <family val="2"/>
      </rPr>
      <t>2</t>
    </r>
    <r>
      <rPr>
        <sz val="7"/>
        <color indexed="8"/>
        <rFont val="Arial"/>
        <family val="2"/>
      </rPr>
      <t xml:space="preserve"> Includes worksite health care, other private revenues, Indian Health Service, workers' compensation, general assistance, maternal and child health, vocational rehabilitation, other federal programs, Substance Abuse and Mental Health Services Administration, other state and local programs, and school health.</t>
    </r>
  </si>
  <si>
    <r>
      <rPr>
        <vertAlign val="superscript"/>
        <sz val="7"/>
        <color indexed="8"/>
        <rFont val="Arial"/>
        <family val="2"/>
      </rPr>
      <t>3</t>
    </r>
    <r>
      <rPr>
        <sz val="7"/>
        <color indexed="8"/>
        <rFont val="Arial"/>
        <family val="2"/>
      </rPr>
      <t xml:space="preserve"> Includes expenditures for residential care facilities (NAICS 623210 and 623220), ambulance providers (NAICS 621910), medical care delivered in non-traditional settings (such as community centers, senior citizens centers, schools, and military field stations), and expenditures for Home and Community Waiver programs under Medicaid. </t>
    </r>
  </si>
  <si>
    <r>
      <rPr>
        <vertAlign val="superscript"/>
        <sz val="7"/>
        <color indexed="8"/>
        <rFont val="Arial"/>
        <family val="2"/>
      </rPr>
      <t>4</t>
    </r>
    <r>
      <rPr>
        <sz val="7"/>
        <color indexed="8"/>
        <rFont val="Arial"/>
        <family val="2"/>
      </rPr>
      <t xml:space="preserve"> Includes freestanding facilities only. Additional services of this type provided in hospital-based facilities are counted as hospital care.</t>
    </r>
  </si>
  <si>
    <r>
      <rPr>
        <vertAlign val="superscript"/>
        <sz val="7"/>
        <rFont val="Arial"/>
        <family val="2"/>
      </rPr>
      <t>5</t>
    </r>
    <r>
      <rPr>
        <sz val="7"/>
        <rFont val="Arial"/>
        <family val="2"/>
      </rPr>
      <t xml:space="preserve"> Includes care provided in nursing care facilities (NAICS 6231), continuing care retirement communities (623311), state and local government nursing facilities, and nursing facilities operated by the Department of Veterans Affairs (DVA).</t>
    </r>
  </si>
  <si>
    <r>
      <rPr>
        <vertAlign val="superscript"/>
        <sz val="7"/>
        <color indexed="8"/>
        <rFont val="Arial"/>
        <family val="2"/>
      </rPr>
      <t>6</t>
    </r>
    <r>
      <rPr>
        <sz val="7"/>
        <color indexed="8"/>
        <rFont val="Arial"/>
        <family val="2"/>
      </rPr>
      <t xml:space="preserve"> Includes all administrative costs (federal and state and local employees' salaries, contracted employees including fiscal intermediaries, rent and building costs, computer systems and programs, other materials and supplies, and other miscellaneous expenses) associated with insuring individuals enrolled in the following health insurance programs: Medicare, Medicaid, Children's Health Insurance Program, Department of Defense, Department of Veterans Affairs, Indian Health Service, workers' compensation, maternal and child health, vocational rehabilitation, Substance Abuse and Mental Health Services Administration, and other federal programs.</t>
    </r>
  </si>
  <si>
    <r>
      <rPr>
        <vertAlign val="superscript"/>
        <sz val="7"/>
        <color indexed="8"/>
        <rFont val="Arial"/>
        <family val="2"/>
      </rPr>
      <t>7</t>
    </r>
    <r>
      <rPr>
        <sz val="7"/>
        <color indexed="8"/>
        <rFont val="Arial"/>
        <family val="2"/>
      </rPr>
      <t xml:space="preserve"> Net cost of health insurance is calculated as the difference between CY incurred premiums earned and benefits paid for private health insurance.  This includes administrative costs, and in some cases, additions to reserves, rate credits and dividends, premium taxes, and plan profits or losses.  Also included in this category is the difference between premiums earned and benefits paid for the private health insurance companies that insure the enrollees of the following programs: Medicare, Medicaid, Children's Health Insurance Program, and workers' compensation (health portion only).</t>
    </r>
  </si>
  <si>
    <r>
      <rPr>
        <vertAlign val="superscript"/>
        <sz val="7"/>
        <color indexed="8"/>
        <rFont val="Arial"/>
        <family val="2"/>
      </rPr>
      <t>8</t>
    </r>
    <r>
      <rPr>
        <sz val="7"/>
        <color indexed="8"/>
        <rFont val="Arial"/>
        <family val="2"/>
      </rPr>
      <t xml:space="preserve"> Research and development expenditures of drug companies and other manufacturers and providers of medical equipment and supplies are excluded from "research expenditures" but are included in the expenditure class in which the product falls.</t>
    </r>
  </si>
  <si>
    <t>Note: Numbers may not add to totals because of rounding.  The figure 0.0 denotes amounts less than $50 million.  Dashes (--) indicate "not applicable". Dollar amounts shown are in current dollars. Percent changes are calculated from unrounded data.</t>
  </si>
  <si>
    <t>SOURCE:  Centers for Medicare &amp; Medicaid Services, Office of the Actuary, National Health Statistics Group.</t>
  </si>
  <si>
    <t>Unadjusted expenditures baseline by source</t>
  </si>
  <si>
    <t>Table 3 
National Health Expenditures; Levels and Annual Percent Change, by Source of Funds: Selected Calendar Years 1960-2019</t>
  </si>
  <si>
    <t>Item</t>
  </si>
  <si>
    <t xml:space="preserve">National Health Expenditures  </t>
  </si>
  <si>
    <t xml:space="preserve">    Health Consumption Expenditures</t>
  </si>
  <si>
    <t xml:space="preserve">         Out of pocket</t>
  </si>
  <si>
    <t xml:space="preserve">         Health Insurance</t>
  </si>
  <si>
    <t xml:space="preserve">                 Private Health Insurance</t>
  </si>
  <si>
    <t xml:space="preserve">                 Medicare</t>
  </si>
  <si>
    <t xml:space="preserve">                 Medicaid</t>
  </si>
  <si>
    <t xml:space="preserve">                          Federal </t>
  </si>
  <si>
    <t xml:space="preserve">                          State and Local</t>
  </si>
  <si>
    <r>
      <t xml:space="preserve">                Other Health Insurance Programs</t>
    </r>
    <r>
      <rPr>
        <vertAlign val="superscript"/>
        <sz val="7"/>
        <rFont val="Arial"/>
        <family val="2"/>
      </rPr>
      <t>1</t>
    </r>
  </si>
  <si>
    <r>
      <t xml:space="preserve">         Other Third Party Payers and Programs and Public Health Activity</t>
    </r>
    <r>
      <rPr>
        <vertAlign val="superscript"/>
        <sz val="7"/>
        <rFont val="Arial"/>
        <family val="2"/>
      </rPr>
      <t>2</t>
    </r>
  </si>
  <si>
    <t xml:space="preserve">    Investment</t>
  </si>
  <si>
    <t>Average Annual Percent Change from Previous Year Shown</t>
  </si>
  <si>
    <t xml:space="preserve">                 Medicaid </t>
  </si>
  <si>
    <t>NOTE: Numbers may not add to totals because of rounding.  Dollar amounts shown are in current dollars.  Percent changes are calculated from unrounded data. "-" Not applicable.  Medicare and Medicaid became effective July 1966.</t>
  </si>
  <si>
    <t>Non-retail drug savings</t>
  </si>
  <si>
    <t>See below</t>
  </si>
  <si>
    <t>Total administrative costs</t>
  </si>
  <si>
    <t xml:space="preserve">       Government Administration</t>
  </si>
  <si>
    <t xml:space="preserve">       Net Cost of Health Insurance</t>
  </si>
  <si>
    <t>Variation 1</t>
  </si>
  <si>
    <t>Variation 3</t>
  </si>
  <si>
    <t>Variation 2</t>
  </si>
  <si>
    <t>Assumed growth rate for relevant types of expenditures</t>
  </si>
  <si>
    <t>Miscellaneous assumptions</t>
  </si>
  <si>
    <t>baseline</t>
  </si>
  <si>
    <t>Option A Variation 1</t>
  </si>
  <si>
    <t>Option B Variation 1</t>
  </si>
  <si>
    <t>* NHE projected growth rate for Personal Health Care minus</t>
  </si>
  <si>
    <t>(assumed NHE growth rate for Administration and Public Health)</t>
  </si>
  <si>
    <t>Table 3 
National Health Expenditures; Aggregate and per Capita Amounts, Percent Distribution and Annual Percent Change by Source of Funds:  Calendar Years 2012-2028</t>
  </si>
  <si>
    <r>
      <t>Health Insurance</t>
    </r>
    <r>
      <rPr>
        <vertAlign val="superscript"/>
        <sz val="6"/>
        <color indexed="8"/>
        <rFont val="Arial"/>
        <family val="2"/>
      </rPr>
      <t>1</t>
    </r>
  </si>
  <si>
    <t xml:space="preserve">Year </t>
  </si>
  <si>
    <t>Out-of-Pocket Payments</t>
  </si>
  <si>
    <r>
      <t>Other Health Insurance Programs</t>
    </r>
    <r>
      <rPr>
        <vertAlign val="superscript"/>
        <sz val="6"/>
        <color indexed="8"/>
        <rFont val="Arial"/>
        <family val="2"/>
      </rPr>
      <t>2</t>
    </r>
  </si>
  <si>
    <r>
      <t>Other Third Party Payers</t>
    </r>
    <r>
      <rPr>
        <vertAlign val="superscript"/>
        <sz val="6"/>
        <color indexed="8"/>
        <rFont val="Arial"/>
        <family val="2"/>
      </rPr>
      <t>3</t>
    </r>
  </si>
  <si>
    <t>Historical Estimates</t>
  </si>
  <si>
    <t>Annual Percent Change from Previous Year Shown</t>
  </si>
  <si>
    <r>
      <t>2</t>
    </r>
    <r>
      <rPr>
        <sz val="6"/>
        <color indexed="8"/>
        <rFont val="Arial"/>
        <family val="2"/>
      </rPr>
      <t>Children's Health Insurance Program (Titles XIX and XXI), Department of Defense, and Department of Veterans' Affairs.</t>
    </r>
  </si>
  <si>
    <r>
      <t>3</t>
    </r>
    <r>
      <rPr>
        <sz val="6"/>
        <color indexed="8"/>
        <rFont val="Arial"/>
        <family val="2"/>
      </rPr>
      <t>Includes worksite health care, other private revenues, Indian Health Service, workers' compensation, general assistance, maternal and child health, vocational rehabilitation, other federal programs, Substance Abuse and Mental Health Services Administration, other state and local programs, and school health.</t>
    </r>
  </si>
  <si>
    <t xml:space="preserve">NOTE: Per capita amounts based on estimates that reflect the U.S. Bureau of Census definition for resident-based population (which includes all persons who usually reside in one of the fifty states or the District of Columbia, but excludes (i) residents living in Puerto Rico and areas under U.S. sovereignty, and (ii) U.S. Armed Forces overseas and U.S. citizens whose usual place of residence is outside of the United States) plus a small (typically less than 0.2% of population) adjustment to reflect Census undercounts.  Projected estimates reflect the area population growth assumptions found in the Medicare Trustees Report.  Numbers and percents may not add to totals because of rounding.  Dashes (—) indicate "not applicable". </t>
  </si>
  <si>
    <t>SOURCE:  Centers for Medicare &amp; Medicaid Services, Office of the Actuary.</t>
  </si>
  <si>
    <t>Total federal programs that will serve as primary coverage</t>
  </si>
  <si>
    <t>Percentage of unadjusted health expenditures</t>
  </si>
  <si>
    <t>Medi-Cal Expenditures in Billions**</t>
  </si>
  <si>
    <t>Actuals</t>
  </si>
  <si>
    <t>Estimated***</t>
  </si>
  <si>
    <t>2013-14</t>
  </si>
  <si>
    <t>2014-15</t>
  </si>
  <si>
    <t>2015-16</t>
  </si>
  <si>
    <t>2016-17</t>
  </si>
  <si>
    <t>2017-18</t>
  </si>
  <si>
    <t>2018-19</t>
  </si>
  <si>
    <t>2019-20</t>
  </si>
  <si>
    <t>2020-21</t>
  </si>
  <si>
    <t>General Fund*</t>
  </si>
  <si>
    <t>Federal Funds*</t>
  </si>
  <si>
    <t>Other Funds*</t>
  </si>
  <si>
    <t>**Does not reflect state  administrative costs of administering Medi-Cal.</t>
  </si>
  <si>
    <t xml:space="preserve">***Estimated expenditures at time of 2020 Governor's Budget. </t>
  </si>
  <si>
    <t>Calendar</t>
  </si>
  <si>
    <t>State</t>
  </si>
  <si>
    <t>Federal</t>
  </si>
  <si>
    <t>NHE</t>
  </si>
  <si>
    <t>DOF</t>
  </si>
  <si>
    <t>Medicaid (CMS)</t>
  </si>
  <si>
    <t xml:space="preserve">      Medicaid (CMS for 2014 and 2021-2031, DOF growth rate for 2015-2020)</t>
  </si>
  <si>
    <t>Medicaid adjustment as percentage of unadjusted health expenditures</t>
  </si>
  <si>
    <t>Total administration as % of Personal Health Care expenditures</t>
  </si>
  <si>
    <t>Transition costs - just transition for workers</t>
  </si>
  <si>
    <t>Option A Variation 2</t>
  </si>
  <si>
    <t>Option B Variation 2</t>
  </si>
  <si>
    <t>Option A Variation 3</t>
  </si>
  <si>
    <t>Change in expenditures compared to current policy</t>
  </si>
  <si>
    <t>Payer admin spending</t>
  </si>
  <si>
    <t>Option B Variation 3</t>
  </si>
  <si>
    <t>UF Option</t>
  </si>
  <si>
    <t>A and B</t>
  </si>
  <si>
    <t>A</t>
  </si>
  <si>
    <t>B</t>
  </si>
  <si>
    <t>2022 (Year 1)</t>
  </si>
  <si>
    <t>2031 (Year 10)</t>
  </si>
  <si>
    <t>Table 1
National Health Expenditures and Selected Economic Indicators, Levels and Annual Percent Change: Calendar Years 2012-2028</t>
  </si>
  <si>
    <t xml:space="preserve">  Private Health Insurance - National Health Expenditures</t>
  </si>
  <si>
    <t xml:space="preserve">  Private Health Insurance - Personal Health Care</t>
  </si>
  <si>
    <t>Gross Domestic Product</t>
  </si>
  <si>
    <t>Personal Income</t>
  </si>
  <si>
    <t>Disposable Personal Income</t>
  </si>
  <si>
    <t>Level</t>
  </si>
  <si>
    <t>CMS Personal Health Care Price Index, 
chain weighted 2012 base year</t>
  </si>
  <si>
    <t>Gross Domestic Product Implicit Price Deflator, 
chain weighted 2012 base year</t>
  </si>
  <si>
    <t>Consumer Price Index (CPI-U) - 1982-1984 base</t>
  </si>
  <si>
    <t>Millions</t>
  </si>
  <si>
    <r>
      <t>U.S. Population</t>
    </r>
    <r>
      <rPr>
        <vertAlign val="superscript"/>
        <sz val="7"/>
        <rFont val="Arial"/>
        <family val="2"/>
      </rPr>
      <t>†</t>
    </r>
  </si>
  <si>
    <t xml:space="preserve">  Population age 65 years and older</t>
  </si>
  <si>
    <t xml:space="preserve">  Population age less than 65 years</t>
  </si>
  <si>
    <t>Percent Change in Per Capita from Previous Year Shown</t>
  </si>
  <si>
    <t>Percent</t>
  </si>
  <si>
    <t>National Health Expenditures as a 
Percent of Gross Domestic Product</t>
  </si>
  <si>
    <r>
      <rPr>
        <vertAlign val="superscript"/>
        <sz val="7"/>
        <rFont val="Arial"/>
        <family val="2"/>
      </rPr>
      <t>†</t>
    </r>
    <r>
      <rPr>
        <sz val="11"/>
        <color theme="1"/>
        <rFont val="Calibri"/>
        <family val="2"/>
        <scheme val="minor"/>
      </rPr>
      <t xml:space="preserve">Estimates reflect the U.S. Bureau of Census definition for resident-based population (which includes all persons who usually reside in one of the fifty states or the District of Columbia, but excludes (i) residents living in Puerto Rico and areas under U.S. sovereignty, and (ii) U.S. Armed Forces overseas and U.S. citizens whose usual place of residence is outside of the United States) plus a small (typically less than 0.2% of population) adjustment to reflect Census undercounts.  Projected estimates reflect the area population growth assumptions found in the Medicare Trustees Report. </t>
    </r>
  </si>
  <si>
    <t>Numbers and percents may not add to totals because of rounding.</t>
  </si>
  <si>
    <t>SOURCES:  Centers for Medicare &amp; Medicaid Services, Office of the Actuary;  U.S. Department of Commerce, Bureau of Economic Analysis; and U.S. Bureau of the Census.</t>
  </si>
  <si>
    <t>Option A: Direct payments to providers</t>
  </si>
  <si>
    <t>Gross State Product</t>
  </si>
  <si>
    <t>California Gross State Product</t>
  </si>
  <si>
    <t>FRED Graph Observations</t>
  </si>
  <si>
    <t>Federal Reserve Economic Data</t>
  </si>
  <si>
    <t>Link: https://fred.stlouisfed.org</t>
  </si>
  <si>
    <t>Help: https://fredhelp.stlouisfed.org</t>
  </si>
  <si>
    <t>Economic Research Division</t>
  </si>
  <si>
    <t>Federal Reserve Bank of St. Louis</t>
  </si>
  <si>
    <t>CANGSP</t>
  </si>
  <si>
    <t>Total Gross Domestic Product for California, Millions of Dollars, Annual, Not Seasonally Adjusted</t>
  </si>
  <si>
    <t>Frequency: Annual</t>
  </si>
  <si>
    <t>observation_date</t>
  </si>
  <si>
    <t>% of Gross State Product</t>
  </si>
  <si>
    <t>Kaiser share of California health expenditures</t>
  </si>
  <si>
    <t>Commercial HMO</t>
  </si>
  <si>
    <t>Medicare managed care</t>
  </si>
  <si>
    <t>Medi-Cal and Other Public managed care</t>
  </si>
  <si>
    <t>Total California population</t>
  </si>
  <si>
    <t>Managed care share of California population (2019)</t>
  </si>
  <si>
    <t>** Projected GDP</t>
  </si>
  <si>
    <t>National cost of just transition during first two years (2017)</t>
  </si>
  <si>
    <t>Inflated to 2022 using personal income growth</t>
  </si>
  <si>
    <t xml:space="preserve">% of Option A spending needed </t>
  </si>
  <si>
    <t>Unwinding managed care</t>
  </si>
  <si>
    <t>Reserves</t>
  </si>
  <si>
    <t>NHE (no adjustment)</t>
  </si>
  <si>
    <t xml:space="preserve">Option A </t>
  </si>
  <si>
    <t>50% of Option A savings</t>
  </si>
  <si>
    <t>Preliminary assumed federal check</t>
  </si>
  <si>
    <t xml:space="preserve">      Federal ACA premium tax credits</t>
  </si>
  <si>
    <t>Percent federal 2018-21</t>
  </si>
  <si>
    <t>Percent of adjusted baseline that is federal</t>
  </si>
  <si>
    <t>Claims</t>
  </si>
  <si>
    <t>Claims Reserve</t>
  </si>
  <si>
    <t>Financial Reserve Base</t>
  </si>
  <si>
    <t xml:space="preserve">Financial Reserve </t>
  </si>
  <si>
    <t>Bond Amount</t>
  </si>
  <si>
    <t>https://lao.ca.gov/ballotanalysis/Bonds</t>
  </si>
  <si>
    <t>ACL</t>
  </si>
  <si>
    <t>VT</t>
  </si>
  <si>
    <t>Capitated Share</t>
  </si>
  <si>
    <t>Plan</t>
  </si>
  <si>
    <t>100% Capitation</t>
  </si>
  <si>
    <t>AV</t>
  </si>
  <si>
    <t>Capitation 100%</t>
  </si>
  <si>
    <t>0% Capitation</t>
  </si>
  <si>
    <t>Option A Variation 4</t>
  </si>
  <si>
    <t>Option B Variation 4</t>
  </si>
  <si>
    <t>A0</t>
  </si>
  <si>
    <t>A1</t>
  </si>
  <si>
    <t>B0</t>
  </si>
  <si>
    <t>A2</t>
  </si>
  <si>
    <t>B1</t>
  </si>
  <si>
    <t>B2</t>
  </si>
  <si>
    <t>A3</t>
  </si>
  <si>
    <t>B3</t>
  </si>
  <si>
    <t>A4</t>
  </si>
  <si>
    <t>B4</t>
  </si>
  <si>
    <t>CA amount based on CA share of U.S. insured</t>
  </si>
  <si>
    <t>Annual CA payments with bonding (10 year, 2.27% interest)</t>
  </si>
  <si>
    <t>Military Health System (including but not limited to TRICARE)</t>
  </si>
  <si>
    <t>Baseline</t>
  </si>
  <si>
    <t>Zero cost sharing</t>
  </si>
  <si>
    <t>Payer admin savings</t>
  </si>
  <si>
    <t>Admin as % of personal health care</t>
  </si>
  <si>
    <t>Subtotal</t>
  </si>
  <si>
    <t>Expanding LTSS</t>
  </si>
  <si>
    <t>Some cost sharing</t>
  </si>
  <si>
    <t>Option A Default</t>
  </si>
  <si>
    <t>Option B Default</t>
  </si>
  <si>
    <t>Option A Var 3</t>
  </si>
  <si>
    <t>Option B Var 3</t>
  </si>
  <si>
    <t>Claims Reserves</t>
  </si>
  <si>
    <t>Financial Reserve</t>
  </si>
  <si>
    <t>Annual Payment</t>
  </si>
  <si>
    <t>Years to build reserve</t>
  </si>
  <si>
    <t>Default: No cost sharing, NHE - 0.5%, no LTSS</t>
  </si>
  <si>
    <t>Variation 1: With cost sharing (NHE - 0.5%, no LTSS)</t>
  </si>
  <si>
    <t>Variation 3: With expanded LTSS (no cost sharing, NHE - 0.5%)</t>
  </si>
  <si>
    <t>Variation 4: With expanded LTSS and GDP growth (no cost sharing)</t>
  </si>
  <si>
    <t>Option A Var 4</t>
  </si>
  <si>
    <t xml:space="preserve">Claims base equals non-federal share of PHC minus nursing home, personal care </t>
  </si>
  <si>
    <t xml:space="preserve">Financial Reserve base equals non-federal share of PHC + admin </t>
  </si>
  <si>
    <t>Total of all changes above</t>
  </si>
  <si>
    <t>Just transition for administrative workers</t>
  </si>
  <si>
    <t>Payer administrative savings</t>
  </si>
  <si>
    <t>Lower drug prices</t>
  </si>
  <si>
    <t>Expanding adult dental</t>
  </si>
  <si>
    <t>Universal coverage</t>
  </si>
  <si>
    <t>(in reverse order)</t>
  </si>
  <si>
    <t>(in reverse order for formatting in PPT)</t>
  </si>
  <si>
    <t>2022 change</t>
  </si>
  <si>
    <t>2031 change</t>
  </si>
  <si>
    <t>Capping provider payment growth (2031)</t>
  </si>
  <si>
    <t>Option B Var 4</t>
  </si>
  <si>
    <t>Key: UF Scenario Labeling</t>
  </si>
  <si>
    <t>Option B2</t>
  </si>
  <si>
    <t>Variation 2: With GDP growth (no cost sharing, no LTSS)</t>
  </si>
  <si>
    <t>Change to total health expenditures at each step, 2022</t>
  </si>
  <si>
    <t>Provider administrative savings</t>
  </si>
  <si>
    <t xml:space="preserve">     Payer administrative workers</t>
  </si>
  <si>
    <t xml:space="preserve">     Provider administrative workers</t>
  </si>
  <si>
    <t>GDP</t>
  </si>
  <si>
    <t>NHE minus 0.5%*</t>
  </si>
  <si>
    <t>GDP**</t>
  </si>
  <si>
    <t>Option A no cost sharing</t>
  </si>
  <si>
    <t>Option A with cost sharing</t>
  </si>
  <si>
    <t>Option B No-Cost Sharing</t>
  </si>
  <si>
    <t>Option B Cost Sharing</t>
  </si>
  <si>
    <t>Provider admin savings</t>
  </si>
  <si>
    <t>Capping provider payment growth</t>
  </si>
  <si>
    <t>Disaggregated effects for Option B2</t>
  </si>
  <si>
    <t>A5</t>
  </si>
  <si>
    <t>B5</t>
  </si>
  <si>
    <t>Cost sharing</t>
  </si>
  <si>
    <t>Growth rate</t>
  </si>
  <si>
    <t>LTSS expansion</t>
  </si>
  <si>
    <t>None</t>
  </si>
  <si>
    <t>NHE - 0.5%</t>
  </si>
  <si>
    <t>No</t>
  </si>
  <si>
    <t>Yes</t>
  </si>
  <si>
    <t>Variation 0</t>
  </si>
  <si>
    <t>Variation 4</t>
  </si>
  <si>
    <t>Variation 5</t>
  </si>
  <si>
    <t>Disaggregated effects for Option A4</t>
  </si>
  <si>
    <t>Disaggregated effects for Option A5</t>
  </si>
  <si>
    <t>Disaggregated effects for Option A3</t>
  </si>
  <si>
    <t>Reserves assumptions</t>
  </si>
  <si>
    <t>Option A4</t>
  </si>
  <si>
    <t>Option A5</t>
  </si>
  <si>
    <t>Option A3</t>
  </si>
  <si>
    <t>Diff Option B2 minus A4</t>
  </si>
  <si>
    <t>Wakely Analysis</t>
  </si>
  <si>
    <t>Option A Variation 0</t>
  </si>
  <si>
    <t>Option B Variation 0</t>
  </si>
  <si>
    <t>Using 2020 expenditures: NHEA Premiums + OOP - ESI .89  - 1.2 Elasticity, More Medicare Categories</t>
  </si>
  <si>
    <t>ESI+individual market</t>
  </si>
  <si>
    <t>Population</t>
  </si>
  <si>
    <t>Average AV</t>
  </si>
  <si>
    <t>% expenditure</t>
  </si>
  <si>
    <t>Updated AV - 3.5% reduction</t>
  </si>
  <si>
    <t>Original AV</t>
  </si>
  <si>
    <t>new AV</t>
  </si>
  <si>
    <t>ESI</t>
  </si>
  <si>
    <t>% population</t>
  </si>
  <si>
    <t>%pop</t>
  </si>
  <si>
    <t>status quo av</t>
  </si>
  <si>
    <t>0 - 138 %</t>
  </si>
  <si>
    <t>139 - 400 %</t>
  </si>
  <si>
    <t>400%+</t>
  </si>
  <si>
    <t>(Min. coverage)</t>
  </si>
  <si>
    <t>400 + %</t>
  </si>
  <si>
    <t>(Bronze HDHP)</t>
  </si>
  <si>
    <t>(Bronze)</t>
  </si>
  <si>
    <t>(Silver)</t>
  </si>
  <si>
    <t>(Silver 73)</t>
  </si>
  <si>
    <t>(Silver 87)</t>
  </si>
  <si>
    <t>(Silver 94)</t>
  </si>
  <si>
    <t>(Gold)</t>
  </si>
  <si>
    <t>(Platinum)</t>
  </si>
  <si>
    <t>Medicaid only</t>
  </si>
  <si>
    <t>Medicare only</t>
  </si>
  <si>
    <t>Medicare Advantage + Medicare/Medigap</t>
  </si>
  <si>
    <t>Medicare + Retiree</t>
  </si>
  <si>
    <t>Medicare + medicaid</t>
  </si>
  <si>
    <t>Other public</t>
  </si>
  <si>
    <t>Uninsured</t>
  </si>
  <si>
    <t>Full Coverage - No Cost-Sharing Scenario</t>
  </si>
  <si>
    <t>Income Related Cost-Sharing Scenario</t>
  </si>
  <si>
    <t>Total Population</t>
  </si>
  <si>
    <t>*Note: Population totals extracted from CHIS Interface are slightly higher when requested by FPL.</t>
  </si>
  <si>
    <t>Health expernditures</t>
  </si>
  <si>
    <t>Expenditures, including OOP</t>
  </si>
  <si>
    <t>% increase in spending due to elimination of cost sharing</t>
  </si>
  <si>
    <t>% increase in spending, weighted by expenditure</t>
  </si>
  <si>
    <t>% increase in spending, weighted by population</t>
  </si>
  <si>
    <t>Ratio of expenditure weighted to population weighted result</t>
  </si>
  <si>
    <t>AV, some cost sharing</t>
  </si>
  <si>
    <t>Increase in utililzation</t>
  </si>
  <si>
    <t>Increase in utilization, adjusted for 'hold harmless' for ESI and some Medicare beneficiaries</t>
  </si>
  <si>
    <t>Adjusted for ratio of population weighted to expenditure weighted result</t>
  </si>
  <si>
    <t>Total spending</t>
  </si>
  <si>
    <t>Federal - Medicare, Medi-Cal, IHSS, ACA</t>
  </si>
  <si>
    <t>State/local Medi-Cal and IHSS</t>
  </si>
  <si>
    <t xml:space="preserve">Employer and household spending </t>
  </si>
  <si>
    <t>UF Default</t>
  </si>
  <si>
    <t>Nominal dollars</t>
  </si>
  <si>
    <t>UF Variation 1</t>
  </si>
  <si>
    <t>UF Variation 3</t>
  </si>
  <si>
    <t xml:space="preserve">    Workers comp</t>
  </si>
  <si>
    <t>2031 scenarios in 2022 dollars</t>
  </si>
  <si>
    <t xml:space="preserve">    Medicare</t>
  </si>
  <si>
    <t xml:space="preserve">    Medi-Cal</t>
  </si>
  <si>
    <t xml:space="preserve">    IHSS</t>
  </si>
  <si>
    <t xml:space="preserve">    ACA</t>
  </si>
  <si>
    <t xml:space="preserve">        Employer ESI premiums</t>
  </si>
  <si>
    <t xml:space="preserve">        Worker ESI premiums</t>
  </si>
  <si>
    <t xml:space="preserve">    Out of pocket spending</t>
  </si>
  <si>
    <t xml:space="preserve">Other spending </t>
  </si>
  <si>
    <t>Premiums</t>
  </si>
  <si>
    <t>Private employer</t>
  </si>
  <si>
    <t>Household</t>
  </si>
  <si>
    <t>Federal government</t>
  </si>
  <si>
    <t>State and local government</t>
  </si>
  <si>
    <t>U.S. 2019 (Billions)</t>
  </si>
  <si>
    <t>CA ESI enrollment as % of national</t>
  </si>
  <si>
    <t>https://www.kff.org/other/state-indicator/health-insurance-coverage-of-the-total-population-multiple-sources-of-coverage/?dataView=1&amp;currentTimeframe=0&amp;sortModel=%7B%22colId%22:%22Location%22,%22sort%22:%22asc%22%7D</t>
  </si>
  <si>
    <t>CA average single ESI premium</t>
  </si>
  <si>
    <t>U.S. average single ESI premium</t>
  </si>
  <si>
    <t>Source: https://www.kff.org/other/state-indicator/single-coverage/?currentTimeframe=0&amp;sortModel=%7B%22colId%22:%22Location%22,%22sort%22:%22asc%22%7D</t>
  </si>
  <si>
    <t>Employer share</t>
  </si>
  <si>
    <t>Weighted average employer contribution % based on total premium and employer contribution</t>
  </si>
  <si>
    <t>Employee share</t>
  </si>
  <si>
    <t>$/%</t>
  </si>
  <si>
    <t xml:space="preserve">Single </t>
  </si>
  <si>
    <t>Family</t>
  </si>
  <si>
    <t>Total premium</t>
  </si>
  <si>
    <t>family weighted base is 0.4% less than in row below, using this as the family base for all calculations</t>
  </si>
  <si>
    <t>Employer contribution</t>
  </si>
  <si>
    <t>Source: 2018 CA Employer Health Benefits Survey</t>
  </si>
  <si>
    <t>ESI premiums 2019 ($B)</t>
  </si>
  <si>
    <t>Projected CPI-U 2022</t>
  </si>
  <si>
    <t>Projected CPI-U 2031</t>
  </si>
  <si>
    <t>California spending under baseline</t>
  </si>
  <si>
    <t>Baseline 2022</t>
  </si>
  <si>
    <t>Out-of-pocket spending</t>
  </si>
  <si>
    <t>All other spending</t>
  </si>
  <si>
    <t>Household job-based premiums</t>
  </si>
  <si>
    <t>State and local</t>
  </si>
  <si>
    <t>Spending growth under baseline</t>
  </si>
  <si>
    <t>Employer and household spending</t>
  </si>
  <si>
    <t>Baseline 2031</t>
  </si>
  <si>
    <t>Spending difference under UF</t>
  </si>
  <si>
    <t>UF Variation 1 (with cost sharing, no LTSS, NHE-0.5%)</t>
  </si>
  <si>
    <t>Projected personal health care expenditures* (nominal)</t>
  </si>
  <si>
    <t>Difference between 100% AV and 95.3% AV</t>
  </si>
  <si>
    <t>Applied to personal health care expenditures</t>
  </si>
  <si>
    <t>UF Variation 2</t>
  </si>
  <si>
    <t>Healthcare spending NHE - 0.5%</t>
  </si>
  <si>
    <t>Healthcare spending GDP</t>
  </si>
  <si>
    <t>Amount that needs to be raised 2031 (nominal)</t>
  </si>
  <si>
    <t>Baseline - 0.5%</t>
  </si>
  <si>
    <t>Baseline - 1.3%</t>
  </si>
  <si>
    <t>Average annual federal growth rates 2022-2031</t>
  </si>
  <si>
    <t>2031 (2022 dollars)</t>
  </si>
  <si>
    <t>2031 (nominal)</t>
  </si>
  <si>
    <t>New revenues under UF</t>
  </si>
  <si>
    <t>UF no cost sharing, 
no LTSS expansion</t>
  </si>
  <si>
    <t>Nominal</t>
  </si>
  <si>
    <t>UF with no cost sharing, no LTSS expansion, NHE-0.5%</t>
  </si>
  <si>
    <t>UF with no cost sharing, no LTSS expansion, GDP</t>
  </si>
  <si>
    <t>2022 dollars</t>
  </si>
  <si>
    <t>Baseline growth</t>
  </si>
  <si>
    <t>Savings in 2022 dollars</t>
  </si>
  <si>
    <t>Cumulative</t>
  </si>
  <si>
    <t>Employer and household</t>
  </si>
  <si>
    <t>Employer and household growth</t>
  </si>
  <si>
    <t>State/local Medi-Cal and IHSS growth</t>
  </si>
  <si>
    <t>Other spending</t>
  </si>
  <si>
    <t>Adjusting 2031 $ to 2022 $</t>
  </si>
  <si>
    <t>Cost sharing revenues</t>
  </si>
  <si>
    <t xml:space="preserve">        Other premiums - IM, Medigap, etc. (excluding APTCs)</t>
  </si>
  <si>
    <t xml:space="preserve">    Private insurance premiums (excluding APTCs)</t>
  </si>
  <si>
    <t>state captures all savings</t>
  </si>
  <si>
    <t>feds capture all of their savings</t>
  </si>
  <si>
    <t>Federal growth rates</t>
  </si>
  <si>
    <t>Year 10 scenarios</t>
  </si>
  <si>
    <t>feds capture their savings</t>
  </si>
  <si>
    <t>Cost sharing under UF</t>
  </si>
  <si>
    <t xml:space="preserve">    Private insurance premiums (minus APTCs)</t>
  </si>
  <si>
    <t>NHE-0.5%, 
state captures all savings</t>
  </si>
  <si>
    <t>NHE-0.5%, 
feds captures their savings</t>
  </si>
  <si>
    <t>GDP, 
state captures all savings</t>
  </si>
  <si>
    <t>GDP, 
feds captures their savings</t>
  </si>
  <si>
    <t>Expenditures and revenues 2031 (2022 dollars)</t>
  </si>
  <si>
    <t>GDP growth 2022 to 2031</t>
  </si>
  <si>
    <t>In 2022 dollars</t>
  </si>
  <si>
    <t xml:space="preserve">State and local </t>
  </si>
  <si>
    <t>UF with no cost sharing, with LTSS expansion, NHE-0.5%</t>
  </si>
  <si>
    <t>UF with no cost sharing, with LTSS expansion, GDP</t>
  </si>
  <si>
    <t>UF with cost sharing, no LTSS expansion, NHE-0.5%</t>
  </si>
  <si>
    <t>UF with cost sharing, no LTSS expansion, GDP</t>
  </si>
  <si>
    <t>UF, NHE-0.5% (no cost sharing, no LTSS)</t>
  </si>
  <si>
    <t>Federal no year 1 savings, feds capture savings years 2-10</t>
  </si>
  <si>
    <t>Federal - feds capture 50% savings year 1, feds capture full savings years 2-10</t>
  </si>
  <si>
    <t>Savings in nominal dollars</t>
  </si>
  <si>
    <t>Federal - feds capture 50% savings year 1, feds capture savings years 2-10</t>
  </si>
  <si>
    <t>Variation 6: With expanded LTSS and cost sharing (NHE - 0.5%)</t>
  </si>
  <si>
    <t>UF with cost sharing, with LTSS expansion, NHE-0.5%</t>
  </si>
  <si>
    <t>UF with cost sharing, with LTSS expansion, GDP</t>
  </si>
  <si>
    <t>UF Variation 6</t>
  </si>
  <si>
    <t>Employer insurance premiums</t>
  </si>
  <si>
    <t>Workers' comp</t>
  </si>
  <si>
    <t>Other UF scenarios - direct payment</t>
  </si>
  <si>
    <t>Other UF scenarios - role for health plans or health systems</t>
  </si>
  <si>
    <t>Income-based</t>
  </si>
  <si>
    <t>Variation 6</t>
  </si>
  <si>
    <t>B6</t>
  </si>
  <si>
    <t>Variation 7</t>
  </si>
  <si>
    <t>B7</t>
  </si>
  <si>
    <t>Option A Variation 6</t>
  </si>
  <si>
    <t>Option A Variation 5</t>
  </si>
  <si>
    <t>A6</t>
  </si>
  <si>
    <t>A7</t>
  </si>
  <si>
    <t>Option A Variation 7</t>
  </si>
  <si>
    <t>Option B Variation 5</t>
  </si>
  <si>
    <t>Option B Variation 6</t>
  </si>
  <si>
    <t>Option B Variation 7</t>
  </si>
  <si>
    <t>Option A Var 7</t>
  </si>
  <si>
    <t>Option A Var 6</t>
  </si>
  <si>
    <t>Option A Var 5</t>
  </si>
  <si>
    <t>Option B Var 5</t>
  </si>
  <si>
    <t>Option B Var 6</t>
  </si>
  <si>
    <t>Option B Var 7</t>
  </si>
  <si>
    <t>Variation 5: With expanded LTSS and cost sharing (GDP)</t>
  </si>
  <si>
    <t>Variation 7: With cost sharing (GDP, no LTSS)</t>
  </si>
  <si>
    <t>UF scenarios - direct payment</t>
  </si>
  <si>
    <t>UF scenarios - role for health plans or health systems</t>
  </si>
  <si>
    <t>weighted enrollment base</t>
  </si>
  <si>
    <t>Source: CMS National Health Expenditures</t>
  </si>
  <si>
    <t>CA share of US premium</t>
  </si>
  <si>
    <t>Source: California Department of Finance</t>
  </si>
  <si>
    <t>Expenditures by Source and Sponsor</t>
  </si>
  <si>
    <t>Revenue by Tax (Millions)</t>
  </si>
  <si>
    <t>2031 Nominal</t>
  </si>
  <si>
    <t>Disregard</t>
  </si>
  <si>
    <t>Broad Tax</t>
  </si>
  <si>
    <t>Wages and Salaries</t>
  </si>
  <si>
    <t>Corporate Profits</t>
  </si>
  <si>
    <t>Business Income</t>
  </si>
  <si>
    <t>Partnerships and S Corps</t>
  </si>
  <si>
    <t>Taxable interest</t>
  </si>
  <si>
    <t>Payroll Tax</t>
  </si>
  <si>
    <t>Gross Receipts Tax</t>
  </si>
  <si>
    <t>Gross Receipts Tax Excluding Healthcare and Social Assistance</t>
  </si>
  <si>
    <t>Extend  sales tax to selected services</t>
  </si>
  <si>
    <t>Income tax</t>
  </si>
  <si>
    <t>Real</t>
  </si>
  <si>
    <t>(In thousands)</t>
  </si>
  <si>
    <t>Source</t>
  </si>
  <si>
    <t>QCEW</t>
  </si>
  <si>
    <t>LAO https://lao.ca.gov/LAOEconTax/Article/Detail/582</t>
  </si>
  <si>
    <t>Benefits (DC ret plans, non-health Ins)</t>
  </si>
  <si>
    <t>Emp Cost BLs</t>
  </si>
  <si>
    <t>Corporate Profits (C Corps)</t>
  </si>
  <si>
    <t>FTB Corporate</t>
  </si>
  <si>
    <t>LAO 5% projected growth to 2022, CMS 2022-28; CBO 2029-31</t>
  </si>
  <si>
    <t>Business and Farm Income</t>
  </si>
  <si>
    <t>FTB PIT B4 All</t>
  </si>
  <si>
    <t>Taxable Income</t>
  </si>
  <si>
    <t>Economic Census</t>
  </si>
  <si>
    <t>https://data.census.gov/cedsci/table?q=core%20business%20statistics%20california&amp;tid=ECNCOMP2012.EC1200CCOMP1</t>
  </si>
  <si>
    <t xml:space="preserve">Excludes Ag, Finance, Utilities, </t>
  </si>
  <si>
    <t>Excluding Healthcare and Social Assistance</t>
  </si>
  <si>
    <t>Sales Tax on selected services</t>
  </si>
  <si>
    <t>Benefits</t>
  </si>
  <si>
    <t>Wages and salaries</t>
  </si>
  <si>
    <t>Insurance (not including health)</t>
  </si>
  <si>
    <t>DC</t>
  </si>
  <si>
    <t>TABLE C-2A</t>
  </si>
  <si>
    <t>C CORPORATIONS:  SYNOPSIS OF TAX LIABILITY COMPUTATIONS</t>
  </si>
  <si>
    <t>Percent Change</t>
  </si>
  <si>
    <t>Number</t>
  </si>
  <si>
    <t>Amount</t>
  </si>
  <si>
    <t>Of Returns</t>
  </si>
  <si>
    <t>(Thousands)</t>
  </si>
  <si>
    <t>Returns</t>
  </si>
  <si>
    <t xml:space="preserve">  Gross Receipts</t>
  </si>
  <si>
    <t xml:space="preserve">     Less: Cost of Goods Sold</t>
  </si>
  <si>
    <t xml:space="preserve">  Gross Profit</t>
  </si>
  <si>
    <t xml:space="preserve">  Total Income</t>
  </si>
  <si>
    <t xml:space="preserve">  Total Deductions</t>
  </si>
  <si>
    <t xml:space="preserve">  Net Income Before State Adjustments</t>
  </si>
  <si>
    <t xml:space="preserve">  Net Income After State Adjustments</t>
  </si>
  <si>
    <t xml:space="preserve">     Loss</t>
  </si>
  <si>
    <t xml:space="preserve">     Profit</t>
  </si>
  <si>
    <t xml:space="preserve">  Apportioning Corporations</t>
  </si>
  <si>
    <t xml:space="preserve">     Total Nonbusiness Income</t>
  </si>
  <si>
    <t xml:space="preserve">     Total Business Income</t>
  </si>
  <si>
    <t xml:space="preserve">     Nonbusiness Income Allocated to California</t>
  </si>
  <si>
    <t xml:space="preserve">     Business Income Apportioned to California</t>
  </si>
  <si>
    <t xml:space="preserve">  State Net Income: Apportioning Corporations</t>
  </si>
  <si>
    <t xml:space="preserve">  State Net Income: Nonapportioning Corporations</t>
  </si>
  <si>
    <t xml:space="preserve">  Total State Net Income After Apportionment</t>
  </si>
  <si>
    <t xml:space="preserve">     Taxable Loss</t>
  </si>
  <si>
    <t xml:space="preserve">     Taxable Profit</t>
  </si>
  <si>
    <t xml:space="preserve">     NOL/Disaster Loss</t>
  </si>
  <si>
    <t xml:space="preserve">  State Net Income After NOL/Disaster Loss</t>
  </si>
  <si>
    <t xml:space="preserve">  Tax Before Credits and Alternative Minimum Tax</t>
  </si>
  <si>
    <t xml:space="preserve">    Tax Credits</t>
  </si>
  <si>
    <t xml:space="preserve">    Alternative Minimum Tax</t>
  </si>
  <si>
    <t xml:space="preserve">  Total State Tax</t>
  </si>
  <si>
    <t>TABLE C-2B</t>
  </si>
  <si>
    <t>S CORPORATIONS:  SYNOPSIS OF TAX LIABILITY COMPUTATIONS</t>
  </si>
  <si>
    <t xml:space="preserve">     NOL/Disaster loss</t>
  </si>
  <si>
    <t xml:space="preserve">  State Net Income after NOL/Disaster Loss</t>
  </si>
  <si>
    <t>Adjusted Gross Income Class</t>
  </si>
  <si>
    <t>Partnerships and S-Corp Gain</t>
  </si>
  <si>
    <t>Partnerships and S-Corp Loss</t>
  </si>
  <si>
    <t>Estates and Trusts Gain</t>
  </si>
  <si>
    <t>Estates and Trusts Loss</t>
  </si>
  <si>
    <t>Farm Income</t>
  </si>
  <si>
    <t>All Other Federal Income Sources Profit</t>
  </si>
  <si>
    <t>All Other Federal Income Sources Loss</t>
  </si>
  <si>
    <t>Total Income</t>
  </si>
  <si>
    <t>Individual Retirement Plan</t>
  </si>
  <si>
    <t>Student Loan Interest</t>
  </si>
  <si>
    <t>Tuition &amp; Fees</t>
  </si>
  <si>
    <t>Moving Expense</t>
  </si>
  <si>
    <t>Half Self-Employment Tax</t>
  </si>
  <si>
    <t>Self-Employed Health Insurance</t>
  </si>
  <si>
    <t>Self-Employed Retirement Plan</t>
  </si>
  <si>
    <t>Penalty on Early Withdrawal of Savings</t>
  </si>
  <si>
    <t>Alimony Paid</t>
  </si>
  <si>
    <t>Domestic Production</t>
  </si>
  <si>
    <t>Total Adjustments</t>
  </si>
  <si>
    <t>Total California Subtractions</t>
  </si>
  <si>
    <t>Total California Additions</t>
  </si>
  <si>
    <t>Medical Expenses</t>
  </si>
  <si>
    <t>State and Local Income Taxes</t>
  </si>
  <si>
    <t>Real Estate Taxes</t>
  </si>
  <si>
    <t>Personal Property Taxes</t>
  </si>
  <si>
    <t>Other Taxes</t>
  </si>
  <si>
    <t>Total Taxes</t>
  </si>
  <si>
    <t>Mortgage Interest</t>
  </si>
  <si>
    <t>Points and Investment Interest</t>
  </si>
  <si>
    <t>Total Interest</t>
  </si>
  <si>
    <t>Cash/Check Contributions</t>
  </si>
  <si>
    <t>Non-Cash Contributions</t>
  </si>
  <si>
    <t>Contribution Carryover</t>
  </si>
  <si>
    <t>Total Contributions</t>
  </si>
  <si>
    <t>Casualty and Theft Losses</t>
  </si>
  <si>
    <t>All Other Deductions</t>
  </si>
  <si>
    <t>Total Federal Itemized Deductions</t>
  </si>
  <si>
    <t>California Adjusted to Fed Itemized Deductions</t>
  </si>
  <si>
    <t>California Itemized Deductions</t>
  </si>
  <si>
    <t>California Standard Deductions</t>
  </si>
  <si>
    <t>Personal Exemption Credit</t>
  </si>
  <si>
    <t>Dependent Exemption Credit</t>
  </si>
  <si>
    <t>Senior/Blind Exemption Credit</t>
  </si>
  <si>
    <t>Total Exemption Credit</t>
  </si>
  <si>
    <t>Other State Tax Credit</t>
  </si>
  <si>
    <t>Total Special Credit</t>
  </si>
  <si>
    <t>Renter's Credit</t>
  </si>
  <si>
    <t>G-1 Tax/5870A Tax</t>
  </si>
  <si>
    <t>Alternative Minimum Tax</t>
  </si>
  <si>
    <t>Mental Health Tax</t>
  </si>
  <si>
    <t>Taxes Witheld</t>
  </si>
  <si>
    <t>Estimated Taxes Paid</t>
  </si>
  <si>
    <t>Excess State Disability Insurance (SDI)</t>
  </si>
  <si>
    <t>Nonrefundable Child and Dependent Credit</t>
  </si>
  <si>
    <t>Overpayment</t>
  </si>
  <si>
    <t>Credit to Next Year's Tax</t>
  </si>
  <si>
    <t>Total Voluntary Contributions</t>
  </si>
  <si>
    <t>Refund</t>
  </si>
  <si>
    <t>Tax Due</t>
  </si>
  <si>
    <t>Profit</t>
  </si>
  <si>
    <t>Loss</t>
  </si>
  <si>
    <t>All</t>
  </si>
  <si>
    <t>Taxable</t>
  </si>
  <si>
    <t>Amount (Thousands)</t>
  </si>
  <si>
    <t>Negative</t>
  </si>
  <si>
    <t>a</t>
  </si>
  <si>
    <t>Zero</t>
  </si>
  <si>
    <t>1  to  999</t>
  </si>
  <si>
    <t>1,000  to  1,999</t>
  </si>
  <si>
    <t>2,000  to  2,999</t>
  </si>
  <si>
    <t>3,000  to  3,999</t>
  </si>
  <si>
    <t>4,000  to  4,999</t>
  </si>
  <si>
    <t>5,000  to  5,999</t>
  </si>
  <si>
    <t>6,000  to  6,999</t>
  </si>
  <si>
    <t>7,000  to  7,999</t>
  </si>
  <si>
    <t>8,000  to  8,999</t>
  </si>
  <si>
    <t>9,000  to  9,999</t>
  </si>
  <si>
    <t>10,000  to  10,999</t>
  </si>
  <si>
    <t>11,000  to  11,999</t>
  </si>
  <si>
    <t>12,000  to  12,999</t>
  </si>
  <si>
    <t>13,000  to 13,999</t>
  </si>
  <si>
    <t>14,000  to  14,999</t>
  </si>
  <si>
    <t>15,000  to  15,999</t>
  </si>
  <si>
    <t>16,000  to  16,999</t>
  </si>
  <si>
    <t>17,000  to  17,999</t>
  </si>
  <si>
    <t>18,000  to  18,999</t>
  </si>
  <si>
    <t>19,000  to  19,999</t>
  </si>
  <si>
    <t>20,000  to  20,999</t>
  </si>
  <si>
    <t>21,000  to  21,999</t>
  </si>
  <si>
    <t>22,000  to  22,999</t>
  </si>
  <si>
    <t>23,000  to  23,999</t>
  </si>
  <si>
    <t>24,000  to  24,999</t>
  </si>
  <si>
    <t>25,000  to  25,999</t>
  </si>
  <si>
    <t>26,000  to  26,999</t>
  </si>
  <si>
    <t>27,000  to  27,999</t>
  </si>
  <si>
    <t>28,000  to  28,999</t>
  </si>
  <si>
    <t>29,000  to  29,999</t>
  </si>
  <si>
    <t>30,000  to  30,999</t>
  </si>
  <si>
    <t>31,000  to  31,999</t>
  </si>
  <si>
    <t>32,000  to  32,999</t>
  </si>
  <si>
    <t>33,000  to  33,999</t>
  </si>
  <si>
    <t>34,000  to  34,999</t>
  </si>
  <si>
    <t>35,000  to  35,999</t>
  </si>
  <si>
    <t>36,000  to  36,999</t>
  </si>
  <si>
    <t>37,000  to  37,999</t>
  </si>
  <si>
    <t>38,000  to  38,999</t>
  </si>
  <si>
    <t>39,000  to  39,999</t>
  </si>
  <si>
    <t>40,000  to  49,999</t>
  </si>
  <si>
    <t>50,000  to  59,999</t>
  </si>
  <si>
    <t>60,000  to  69,999</t>
  </si>
  <si>
    <t>70,000  to  79,999</t>
  </si>
  <si>
    <t>80,000  to  89,999</t>
  </si>
  <si>
    <t>90,000  to  99,999</t>
  </si>
  <si>
    <t>100,000  to  149,999</t>
  </si>
  <si>
    <t>150,000  to  199,999</t>
  </si>
  <si>
    <t>200,000  to  299,999</t>
  </si>
  <si>
    <t>300,000  to  399,999</t>
  </si>
  <si>
    <t>400,000  to  499,999</t>
  </si>
  <si>
    <t>500,000  to  999,999</t>
  </si>
  <si>
    <t>1,000,000  to  1,999,999</t>
  </si>
  <si>
    <t>2,000,000  to  2,999,999</t>
  </si>
  <si>
    <t>3,000,000  to  3,999,999</t>
  </si>
  <si>
    <t>4,000,000  to  4,999,999</t>
  </si>
  <si>
    <t>5,000,000  and  over</t>
  </si>
  <si>
    <t>TOTAL</t>
  </si>
  <si>
    <t>percent over 49:</t>
  </si>
  <si>
    <t>Geographic Area Name</t>
  </si>
  <si>
    <t>2017 NAICS code</t>
  </si>
  <si>
    <t>Meaning of NAICS code</t>
  </si>
  <si>
    <t>Meaning of Type of operation code</t>
  </si>
  <si>
    <t>Meaning of Tax status code</t>
  </si>
  <si>
    <t>Year</t>
  </si>
  <si>
    <t>Number of firms</t>
  </si>
  <si>
    <t>Number of establishments</t>
  </si>
  <si>
    <t>Sales, value of shipments, or revenue ($1,000)</t>
  </si>
  <si>
    <t>Annual payroll ($1,000)</t>
  </si>
  <si>
    <t>First-quarter payroll ($1,000)</t>
  </si>
  <si>
    <t>Number of employees</t>
  </si>
  <si>
    <t>Range indicating percent of total sales, value of shipments, or revenue imputed</t>
  </si>
  <si>
    <t>Range indicating percent of total annual payroll imputed</t>
  </si>
  <si>
    <t>Range indicating percent of total employees imputed</t>
  </si>
  <si>
    <t>California</t>
  </si>
  <si>
    <t>21</t>
  </si>
  <si>
    <t>Mining, quarrying, and oil and gas extraction</t>
  </si>
  <si>
    <t>All establishments</t>
  </si>
  <si>
    <t>2017</t>
  </si>
  <si>
    <t>474</t>
  </si>
  <si>
    <t>654</t>
  </si>
  <si>
    <t>12,967,028</t>
  </si>
  <si>
    <t>1,433,056</t>
  </si>
  <si>
    <t>411,943</t>
  </si>
  <si>
    <t>17,119</t>
  </si>
  <si>
    <t>10% to less than 20%</t>
  </si>
  <si>
    <t>22</t>
  </si>
  <si>
    <t>Utilities</t>
  </si>
  <si>
    <t>523</t>
  </si>
  <si>
    <t>1,237</t>
  </si>
  <si>
    <t>Q</t>
  </si>
  <si>
    <t>7,692,844</t>
  </si>
  <si>
    <t>2,386,915</t>
  </si>
  <si>
    <t>62,686</t>
  </si>
  <si>
    <t>Less than 10%</t>
  </si>
  <si>
    <t>23</t>
  </si>
  <si>
    <t>Construction</t>
  </si>
  <si>
    <t>73,587</t>
  </si>
  <si>
    <t>74,696</t>
  </si>
  <si>
    <t>242,287,579</t>
  </si>
  <si>
    <t>49,970,237</t>
  </si>
  <si>
    <t>11,282,300</t>
  </si>
  <si>
    <t>779,585</t>
  </si>
  <si>
    <t>20% to less than 30%</t>
  </si>
  <si>
    <t>31-33</t>
  </si>
  <si>
    <t>Manufacturing</t>
  </si>
  <si>
    <t>35,380</t>
  </si>
  <si>
    <t>37,887</t>
  </si>
  <si>
    <t>510,858,535</t>
  </si>
  <si>
    <t>76,483,112</t>
  </si>
  <si>
    <t>19,288,301</t>
  </si>
  <si>
    <t>1,160,890</t>
  </si>
  <si>
    <t>30% to less than 40%</t>
  </si>
  <si>
    <t>42</t>
  </si>
  <si>
    <t>Wholesale trade</t>
  </si>
  <si>
    <t>50,513</t>
  </si>
  <si>
    <t>58,772</t>
  </si>
  <si>
    <t>1,192,474,635</t>
  </si>
  <si>
    <t>67,632,172</t>
  </si>
  <si>
    <t>17,031,115</t>
  </si>
  <si>
    <t>860,268</t>
  </si>
  <si>
    <t>Merchant wholesalers, except manufacturers' sales branches and offices</t>
  </si>
  <si>
    <t>45,925</t>
  </si>
  <si>
    <t>52,861</t>
  </si>
  <si>
    <t>806,282,537</t>
  </si>
  <si>
    <t>55,597,077</t>
  </si>
  <si>
    <t>13,683,383</t>
  </si>
  <si>
    <t>735,916</t>
  </si>
  <si>
    <t>Manufacturers' sales branches and offices</t>
  </si>
  <si>
    <t>569</t>
  </si>
  <si>
    <t>1,574</t>
  </si>
  <si>
    <t>292,910,550</t>
  </si>
  <si>
    <t>10,153,860</t>
  </si>
  <si>
    <t>2,912,340</t>
  </si>
  <si>
    <t>88,548</t>
  </si>
  <si>
    <t>40% to less than 50%</t>
  </si>
  <si>
    <t>44-45</t>
  </si>
  <si>
    <t>Retail trade</t>
  </si>
  <si>
    <t>70,307</t>
  </si>
  <si>
    <t>108,233</t>
  </si>
  <si>
    <t>594,861,377</t>
  </si>
  <si>
    <t>54,229,430</t>
  </si>
  <si>
    <t>13,218,933</t>
  </si>
  <si>
    <t>1,723,278</t>
  </si>
  <si>
    <t>48-49</t>
  </si>
  <si>
    <t>Transportation and warehousing</t>
  </si>
  <si>
    <t>20,525</t>
  </si>
  <si>
    <t>24,817</t>
  </si>
  <si>
    <t>99,160,737</t>
  </si>
  <si>
    <t>28,780,713</t>
  </si>
  <si>
    <t>7,045,216</t>
  </si>
  <si>
    <t>545,870</t>
  </si>
  <si>
    <t>51</t>
  </si>
  <si>
    <t>Information</t>
  </si>
  <si>
    <t>17,657</t>
  </si>
  <si>
    <t>25,103</t>
  </si>
  <si>
    <t>N</t>
  </si>
  <si>
    <t>107,279,921</t>
  </si>
  <si>
    <t>27,404,288</t>
  </si>
  <si>
    <t>678,261</t>
  </si>
  <si>
    <t>52</t>
  </si>
  <si>
    <t>Finance and insurance</t>
  </si>
  <si>
    <t>29,047</t>
  </si>
  <si>
    <t>50,972</t>
  </si>
  <si>
    <t>73,582,154</t>
  </si>
  <si>
    <t>21,322,474</t>
  </si>
  <si>
    <t>650,176</t>
  </si>
  <si>
    <t>53</t>
  </si>
  <si>
    <t>Real estate and rental and leasing</t>
  </si>
  <si>
    <t>44,235</t>
  </si>
  <si>
    <t>57,434</t>
  </si>
  <si>
    <t>110,821,518</t>
  </si>
  <si>
    <t>18,275,025</t>
  </si>
  <si>
    <t>4,694,117</t>
  </si>
  <si>
    <t>314,273</t>
  </si>
  <si>
    <t>54</t>
  </si>
  <si>
    <t>Professional, scientific, and technical services</t>
  </si>
  <si>
    <t>117,252</t>
  </si>
  <si>
    <t>127,023</t>
  </si>
  <si>
    <t>300,626,235</t>
  </si>
  <si>
    <t>118,663,891</t>
  </si>
  <si>
    <t>29,582,751</t>
  </si>
  <si>
    <t>1,241,452</t>
  </si>
  <si>
    <t>Establishments subject to federal income tax</t>
  </si>
  <si>
    <t>116,707</t>
  </si>
  <si>
    <t>126,250</t>
  </si>
  <si>
    <t>290,527,667</t>
  </si>
  <si>
    <t>114,637,768</t>
  </si>
  <si>
    <t>28,622,020</t>
  </si>
  <si>
    <t>1,200,190</t>
  </si>
  <si>
    <t>Establishments exempt from federal income tax</t>
  </si>
  <si>
    <t>557</t>
  </si>
  <si>
    <t>773</t>
  </si>
  <si>
    <t>10,098,568</t>
  </si>
  <si>
    <t>4,026,123</t>
  </si>
  <si>
    <t>960,731</t>
  </si>
  <si>
    <t>41,262</t>
  </si>
  <si>
    <t>55</t>
  </si>
  <si>
    <t>Management of companies and enterprises</t>
  </si>
  <si>
    <t>3,325</t>
  </si>
  <si>
    <t>5,547</t>
  </si>
  <si>
    <t>12,043,363</t>
  </si>
  <si>
    <t>48,347,180</t>
  </si>
  <si>
    <t>12,185,351</t>
  </si>
  <si>
    <t>360,444</t>
  </si>
  <si>
    <t>50% to less than 60%</t>
  </si>
  <si>
    <t>56</t>
  </si>
  <si>
    <t>Administrative and support and waste management and remediation services</t>
  </si>
  <si>
    <t>38,296</t>
  </si>
  <si>
    <t>45,082</t>
  </si>
  <si>
    <t>144,903,944</t>
  </si>
  <si>
    <t>74,689,096</t>
  </si>
  <si>
    <t>17,779,300</t>
  </si>
  <si>
    <t>1,563,794</t>
  </si>
  <si>
    <t>61</t>
  </si>
  <si>
    <t>Educational services</t>
  </si>
  <si>
    <t>10,073</t>
  </si>
  <si>
    <t>10,917</t>
  </si>
  <si>
    <t>9,871,940</t>
  </si>
  <si>
    <t>3,288,587</t>
  </si>
  <si>
    <t>796,844</t>
  </si>
  <si>
    <t>115,799</t>
  </si>
  <si>
    <t>8,388</t>
  </si>
  <si>
    <t>9,111</t>
  </si>
  <si>
    <t>7,575,761</t>
  </si>
  <si>
    <t>2,454,572</t>
  </si>
  <si>
    <t>595,038</t>
  </si>
  <si>
    <t>90,083</t>
  </si>
  <si>
    <t>1,693</t>
  </si>
  <si>
    <t>1,806</t>
  </si>
  <si>
    <t>2,296,179</t>
  </si>
  <si>
    <t>834,015</t>
  </si>
  <si>
    <t>201,806</t>
  </si>
  <si>
    <t>25,716</t>
  </si>
  <si>
    <t>62</t>
  </si>
  <si>
    <t>Health care and social assistance</t>
  </si>
  <si>
    <t>92,677</t>
  </si>
  <si>
    <t>113,390</t>
  </si>
  <si>
    <t>311,312,156</t>
  </si>
  <si>
    <t>119,500,638</t>
  </si>
  <si>
    <t>29,068,042</t>
  </si>
  <si>
    <t>2,043,117</t>
  </si>
  <si>
    <t>86,472</t>
  </si>
  <si>
    <t>99,272</t>
  </si>
  <si>
    <t>159,332,380</t>
  </si>
  <si>
    <t>63,327,906</t>
  </si>
  <si>
    <t>15,127,086</t>
  </si>
  <si>
    <t>1,198,086</t>
  </si>
  <si>
    <t>6,358</t>
  </si>
  <si>
    <t>14,118</t>
  </si>
  <si>
    <t>151,979,776</t>
  </si>
  <si>
    <t>56,172,732</t>
  </si>
  <si>
    <t>13,940,956</t>
  </si>
  <si>
    <t>845,031</t>
  </si>
  <si>
    <t>71</t>
  </si>
  <si>
    <t>Arts, entertainment, and recreation</t>
  </si>
  <si>
    <t>24,704</t>
  </si>
  <si>
    <t>26,390</t>
  </si>
  <si>
    <t>53,107,156</t>
  </si>
  <si>
    <t>17,209,042</t>
  </si>
  <si>
    <t>3,395,877</t>
  </si>
  <si>
    <t>349,752</t>
  </si>
  <si>
    <t>22,551</t>
  </si>
  <si>
    <t>24,089</t>
  </si>
  <si>
    <t>46,686,007</t>
  </si>
  <si>
    <t>15,160,926</t>
  </si>
  <si>
    <t>2,912,190</t>
  </si>
  <si>
    <t>285,215</t>
  </si>
  <si>
    <t>2,159</t>
  </si>
  <si>
    <t>2,301</t>
  </si>
  <si>
    <t>6,421,149</t>
  </si>
  <si>
    <t>2,048,116</t>
  </si>
  <si>
    <t>483,687</t>
  </si>
  <si>
    <t>64,537</t>
  </si>
  <si>
    <t>72</t>
  </si>
  <si>
    <t>Accommodation and food services</t>
  </si>
  <si>
    <t>67,483</t>
  </si>
  <si>
    <t>89,596</t>
  </si>
  <si>
    <t>133,716,870</t>
  </si>
  <si>
    <t>37,677,174</t>
  </si>
  <si>
    <t>9,012,683</t>
  </si>
  <si>
    <t>1,739,010</t>
  </si>
  <si>
    <t>81</t>
  </si>
  <si>
    <t>Other services (except public administration)</t>
  </si>
  <si>
    <t>55,303</t>
  </si>
  <si>
    <t>62,302</t>
  </si>
  <si>
    <t>64,253,947</t>
  </si>
  <si>
    <t>15,637,899</t>
  </si>
  <si>
    <t>3,767,287</t>
  </si>
  <si>
    <t>437,372</t>
  </si>
  <si>
    <t>45,562</t>
  </si>
  <si>
    <t>51,828</t>
  </si>
  <si>
    <t>38,343,534</t>
  </si>
  <si>
    <t>10,872,895</t>
  </si>
  <si>
    <t>2,608,940</t>
  </si>
  <si>
    <t>334,826</t>
  </si>
  <si>
    <t>9,744</t>
  </si>
  <si>
    <t>10,474</t>
  </si>
  <si>
    <t>25,910,413</t>
  </si>
  <si>
    <t>4,765,004</t>
  </si>
  <si>
    <t>1,158,347</t>
  </si>
  <si>
    <t>102,546</t>
  </si>
  <si>
    <t>All Establishments</t>
  </si>
  <si>
    <t>Minus Health Care</t>
  </si>
  <si>
    <t>Services excluding construction, education and health</t>
  </si>
  <si>
    <t>Selected Services</t>
  </si>
  <si>
    <t>2031 Index</t>
  </si>
  <si>
    <t>California AGI 2020 (Thousands)</t>
  </si>
  <si>
    <t>California Deductions 2020 (Thousands)</t>
  </si>
  <si>
    <t>Taxable Income 2020 (Thousands)</t>
  </si>
  <si>
    <t>Total Tax Liability 2020 (Thousands)</t>
  </si>
  <si>
    <t>Wages and Salaries 2020</t>
  </si>
  <si>
    <t>Taxable Interest 2020</t>
  </si>
  <si>
    <t>Taxable Dividends 2020</t>
  </si>
  <si>
    <t>Taxable Pensions and Annuities 2020</t>
  </si>
  <si>
    <t>Business Income 2020</t>
  </si>
  <si>
    <t>Net Sale of Capital Assets 2020</t>
  </si>
  <si>
    <t>Rents and Royalties 2020</t>
  </si>
  <si>
    <t>Number of Returns 2020</t>
  </si>
  <si>
    <t xml:space="preserve">Federal AGI 2020 (Thousands) </t>
  </si>
  <si>
    <t xml:space="preserve">California Adjustments 2020 (Thousands) </t>
  </si>
  <si>
    <t>Note: All UF scenarios reflect direct payments to providers, see UF_Scenario Key for descriptions of UF Scenarios</t>
  </si>
  <si>
    <t>UF Variation 0</t>
  </si>
  <si>
    <t>Expenditures by source and sponsor 2022-2031</t>
  </si>
  <si>
    <t>Tax rate</t>
  </si>
  <si>
    <t>Option B: Health plan or health system role</t>
  </si>
  <si>
    <t>Option B: Health plans or health system role</t>
  </si>
  <si>
    <t>Non-federal funds repurposed under UF</t>
  </si>
  <si>
    <t>UF income-
based cost 
sharing,
no LTSS 
expansion</t>
  </si>
  <si>
    <t>UF no cost 
sharing, 
no LTSS 
expansion</t>
  </si>
  <si>
    <t>UF income-
based cost 
sharing,
with LTSS 
expansion</t>
  </si>
  <si>
    <t xml:space="preserve">UF no cost 
sharing, 
with LTSS 
expansion </t>
  </si>
  <si>
    <t>Remaining expenditures to be covered by non-federal funds repurposed under UF</t>
  </si>
  <si>
    <t>Employer and household spending (baseline)/ 
Non-federal funds repurposed under UF</t>
  </si>
  <si>
    <t xml:space="preserve">Non-federal funds repurposed under UF, based on 2022 amount grown with GDP 2031 </t>
  </si>
  <si>
    <t>Non-federal funds repurposed under UF 2031</t>
  </si>
  <si>
    <t>Amount needed to be repurposed in variation 1 with cost sharing revenue</t>
  </si>
  <si>
    <t xml:space="preserve">Notes: Population counts from CHIS. "Other Public" respondents are excluded from these calculations because
</t>
  </si>
  <si>
    <t>population weighted to expenditure weighted results is used in the estimate of the effects of the 'Some cost sharing' scenario.</t>
  </si>
  <si>
    <t xml:space="preserve">NHEA data do not break out health expenditures for this group  Health expenditures from state health accounts.  The ratio of </t>
  </si>
  <si>
    <t xml:space="preserve">Note: DMHC data indicate that 80% of fully insured plans had an AV above 90%, 14% had an AV between 80% and 90%, and 6% had an AV below 80%, with an average for </t>
  </si>
  <si>
    <t xml:space="preserve">the fully insured plans of 92%.  As described in the text, we estimate an average AV of 89% for all employer sponsored insurance, reducing the 92% to account for the lower </t>
  </si>
  <si>
    <t>AV of self-insured plans, which are predmoniantly PPOs and high deductible plans.  The estimates in columns H and I are the estimated AVs and fraction of ESI members with</t>
  </si>
  <si>
    <t>that AV</t>
  </si>
  <si>
    <t>*These amounts do not include expenditures from Managed Risk Medical Insurance Board, Department of</t>
  </si>
  <si>
    <t>of Health Care Services.</t>
  </si>
  <si>
    <t xml:space="preserve"> Mental Health, and Department of Alcohol and Drug Programs prior to transition to the Department </t>
  </si>
  <si>
    <t xml:space="preserve"> Administration, other state and local programs, and school health.</t>
  </si>
  <si>
    <t>2 Includes worksite health care, other private revenues, Indian Health Service, workers' compensation, general assistance, maternal and child health, vocational rehabilitation, other federal programs, Substance Abuse and Mental Health Services</t>
  </si>
  <si>
    <r>
      <t>1</t>
    </r>
    <r>
      <rPr>
        <sz val="6"/>
        <rFont val="Arial"/>
        <family val="2"/>
      </rPr>
      <t xml:space="preserve">Includes Private Health Insurance (Employer Sponsored Insurance and other private insurance, which includes Marketplace plans), Medicare, Medicaid, Children's Health Insurance Program (Titles XIX and XXI), </t>
    </r>
  </si>
  <si>
    <t>Department of Defense, and Department of Veterans’ Affairs.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</si>
</sst>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3">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General_)"/>
    <numFmt numFmtId="165" formatCode="_(* #,##0.000_);_(* \(#,##0.000\);_(* &quot;-&quot;??_);_(@_)"/>
    <numFmt numFmtId="166" formatCode="_(&quot;$&quot;* #,##0_);_(&quot;$&quot;* \(#,##0\);_(&quot;$&quot;* &quot;-&quot;??_);_(@_)"/>
    <numFmt numFmtId="167" formatCode="#,##0.0;\-#,##0.0;&quot;-&quot;_._0;@"/>
    <numFmt numFmtId="168" formatCode="&quot;$&quot;#,##0.0_%"/>
    <numFmt numFmtId="169" formatCode="#,##0.0_%"/>
    <numFmt numFmtId="170" formatCode="0.0_)"/>
    <numFmt numFmtId="171" formatCode="0.0%"/>
    <numFmt numFmtId="172" formatCode="0.0"/>
    <numFmt numFmtId="173" formatCode="0.0_%"/>
    <numFmt numFmtId="174" formatCode="&quot;$&quot;#,##0_%"/>
    <numFmt numFmtId="175" formatCode="#,##0_%"/>
    <numFmt numFmtId="176" formatCode="#,##0.0"/>
    <numFmt numFmtId="177" formatCode="&quot;$&quot;#,##0.0"/>
    <numFmt numFmtId="178" formatCode="_(* #,##0.0_);_(* \(#,##0.0\);_(* &quot;-&quot;??_);_(@_)"/>
    <numFmt numFmtId="179" formatCode="0_)"/>
    <numFmt numFmtId="180" formatCode="_(* #,##0_);_(* \(#,##0\);_(* &quot;-&quot;??_);_(@_)"/>
    <numFmt numFmtId="181" formatCode="#0.0_%;\-#0.0_%;&quot;-&quot;_._0_%"/>
    <numFmt numFmtId="182" formatCode="#0.0_%;\-#0.0_%;########0.0_%;_._0_%"/>
    <numFmt numFmtId="183" formatCode="_(* #,##0.0000_);_(* \(#,##0.0000\);_(* &quot;-&quot;??_);_(@_)"/>
    <numFmt numFmtId="184" formatCode="&quot;$&quot;#,##0.0_);\(&quot;$&quot;#,##0.0\)"/>
    <numFmt numFmtId="185" formatCode="&quot;$&quot;#,##0"/>
    <numFmt numFmtId="186" formatCode="_(&quot;$&quot;* #,##0.0_);_(&quot;$&quot;* \(#,##0.0\);_(&quot;$&quot;* &quot;-&quot;??_);_(@_)"/>
    <numFmt numFmtId="187" formatCode="_(* #,##0.0_);_(* \(#,##0.0\);_(* &quot;-&quot;?_);_(@_)"/>
    <numFmt numFmtId="188" formatCode="&quot;$&quot;#,##0.000000000"/>
    <numFmt numFmtId="189" formatCode="_(* #,##0.0000000_);_(* \(#,##0.0000000\);_(* &quot;-&quot;_);_(@_)"/>
    <numFmt numFmtId="190" formatCode="_(* #,##0.0_);_(* \(#,##0.0\);_(* &quot;-&quot;_);_(@_)"/>
    <numFmt numFmtId="191" formatCode="#,##0.0_);\(#,##0.0\)"/>
    <numFmt numFmtId="192" formatCode="yyyy\-mm\-dd"/>
    <numFmt numFmtId="193" formatCode="_-&quot;$&quot;* #,##0_-;\-&quot;$&quot;* #,##0_-;_-&quot;$&quot;* &quot;-&quot;_-;_-@_-"/>
    <numFmt numFmtId="194" formatCode="_-* #,##0_-;\-* #,##0_-;_-* &quot;-&quot;_-;_-@_-"/>
    <numFmt numFmtId="195" formatCode="_-&quot;$&quot;* #,##0.00_-;\-&quot;$&quot;* #,##0.00_-;_-&quot;$&quot;* &quot;-&quot;??_-;_-@_-"/>
    <numFmt numFmtId="196" formatCode="0.0_)\%;\(0.0\)\%;0.0_)\%;@_)_%"/>
    <numFmt numFmtId="197" formatCode="0.000%;\(0.000%\)"/>
    <numFmt numFmtId="198" formatCode="0.00%;\(0.00%\)"/>
    <numFmt numFmtId="199" formatCode="&quot;$&quot;\-#,##0_);[Red]\(&quot;$&quot;#,##0\)"/>
    <numFmt numFmtId="200" formatCode="&quot;$&quot;#,##0.00"/>
    <numFmt numFmtId="201" formatCode="&quot;$&quot;#,##0.0;\(&quot;$&quot;#,###.0\)"/>
    <numFmt numFmtId="202" formatCode="00.0%"/>
    <numFmt numFmtId="203" formatCode="&quot;3E00&quot;"/>
    <numFmt numFmtId="204" formatCode="General&quot;*&quot;"/>
    <numFmt numFmtId="205" formatCode="0.0%;\(0.0%\)"/>
    <numFmt numFmtId="206" formatCode="###.0"/>
    <numFmt numFmtId="207" formatCode="&quot;$&quot;###,##0_);[Red]\(&quot;$&quot;###,##0\)"/>
    <numFmt numFmtId="208" formatCode="&quot;$&quot;_##,##0_);[Red]\(&quot;$&quot;_##,##0\)"/>
    <numFmt numFmtId="209" formatCode="&quot;$&quot;##0.0"/>
    <numFmt numFmtId="210" formatCode="0.000%"/>
    <numFmt numFmtId="211" formatCode="0.0000%"/>
    <numFmt numFmtId="212" formatCode="\ \ \ @"/>
    <numFmt numFmtId="213" formatCode="\ \ \ \ \ \ @"/>
    <numFmt numFmtId="214" formatCode="0.00_)"/>
    <numFmt numFmtId="215" formatCode="_(&quot;$&quot;\ #,##0_);_(&quot;$&quot;* \(#,##0\);_(&quot;$&quot;* &quot;-&quot;_);_(@_)"/>
    <numFmt numFmtId="216" formatCode="&quot;3E13&quot;"/>
    <numFmt numFmtId="217" formatCode="&quot;$&quot;#,##0.0;[Red]\(&quot;$&quot;#,###.0\)"/>
    <numFmt numFmtId="218" formatCode="&quot;$&quot;#,##0.0000"/>
    <numFmt numFmtId="219" formatCode="_(* #,##0.0_);_(* \-#,##0.0_);_(* &quot;-&quot;??_);_(@_)"/>
    <numFmt numFmtId="220" formatCode="###,###"/>
    <numFmt numFmtId="221" formatCode="0.00_%"/>
  </numFmts>
  <fonts count="158">
    <font>
      <sz val="11"/>
      <color theme="1"/>
      <name val="Calibri"/>
      <family val="2"/>
      <scheme val="minor"/>
    </font>
    <font>
      <sz val="12"/>
      <color theme="1"/>
      <name val="Calibri"/>
      <family val="2"/>
      <scheme val="minor"/>
    </font>
    <font>
      <sz val="11"/>
      <color theme="1"/>
      <name val="Calibri"/>
      <family val="2"/>
      <scheme val="minor"/>
    </font>
    <font>
      <sz val="5.5"/>
      <name val="Arial"/>
      <family val="2"/>
    </font>
    <font>
      <b/>
      <sz val="11"/>
      <color indexed="8"/>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7"/>
      <name val="Arial"/>
      <family val="2"/>
    </font>
    <font>
      <sz val="10"/>
      <name val="Arial"/>
      <family val="2"/>
    </font>
    <font>
      <b/>
      <sz val="9"/>
      <color indexed="8"/>
      <name val="Arial"/>
      <family val="2"/>
    </font>
    <font>
      <sz val="7"/>
      <color indexed="8"/>
      <name val="Arial"/>
      <family val="2"/>
    </font>
    <font>
      <b/>
      <sz val="7"/>
      <color indexed="8"/>
      <name val="Arial"/>
      <family val="2"/>
    </font>
    <font>
      <sz val="12"/>
      <name val="Courier"/>
      <family val="3"/>
    </font>
    <font>
      <vertAlign val="superscript"/>
      <sz val="7"/>
      <name val="Arial"/>
      <family val="2"/>
    </font>
    <font>
      <b/>
      <sz val="7"/>
      <name val="Arial"/>
      <family val="2"/>
    </font>
    <font>
      <sz val="7"/>
      <color theme="1"/>
      <name val="Arial"/>
      <family val="2"/>
    </font>
    <font>
      <sz val="6"/>
      <name val="Arial"/>
      <family val="2"/>
    </font>
    <font>
      <b/>
      <sz val="10"/>
      <color indexed="8"/>
      <name val="Arial"/>
      <family val="2"/>
    </font>
    <font>
      <sz val="10"/>
      <color indexed="8"/>
      <name val="Arial"/>
      <family val="2"/>
    </font>
    <font>
      <vertAlign val="superscript"/>
      <sz val="7"/>
      <color indexed="8"/>
      <name val="Arial"/>
      <family val="2"/>
    </font>
    <font>
      <u/>
      <sz val="7"/>
      <name val="Arial"/>
      <family val="2"/>
    </font>
    <font>
      <b/>
      <sz val="9"/>
      <color theme="1"/>
      <name val="Arial"/>
      <family val="2"/>
    </font>
    <font>
      <sz val="8"/>
      <name val="Arial"/>
      <family val="2"/>
    </font>
    <font>
      <b/>
      <sz val="8"/>
      <name val="Arial"/>
      <family val="2"/>
    </font>
    <font>
      <b/>
      <vertAlign val="superscript"/>
      <sz val="8"/>
      <name val="Arial"/>
      <family val="2"/>
    </font>
    <font>
      <sz val="6"/>
      <color indexed="10"/>
      <name val="Arial"/>
      <family val="2"/>
    </font>
    <font>
      <b/>
      <sz val="9"/>
      <name val="Arial"/>
      <family val="2"/>
    </font>
    <font>
      <b/>
      <sz val="7"/>
      <color theme="1"/>
      <name val="Arial"/>
      <family val="2"/>
    </font>
    <font>
      <sz val="7"/>
      <color theme="1"/>
      <name val="Calibri"/>
      <family val="2"/>
      <scheme val="minor"/>
    </font>
    <font>
      <sz val="8"/>
      <color theme="1"/>
      <name val="Arial"/>
      <family val="2"/>
    </font>
    <font>
      <b/>
      <sz val="8"/>
      <color indexed="8"/>
      <name val="Arial"/>
      <family val="2"/>
    </font>
    <font>
      <b/>
      <sz val="12"/>
      <color indexed="8"/>
      <name val="Arial"/>
      <family val="2"/>
    </font>
    <font>
      <b/>
      <sz val="6"/>
      <color indexed="8"/>
      <name val="Arial"/>
      <family val="2"/>
    </font>
    <font>
      <sz val="6"/>
      <color indexed="8"/>
      <name val="Arial"/>
      <family val="2"/>
    </font>
    <font>
      <vertAlign val="superscript"/>
      <sz val="6"/>
      <color indexed="8"/>
      <name val="Arial"/>
      <family val="2"/>
    </font>
    <font>
      <vertAlign val="superscript"/>
      <sz val="6"/>
      <name val="Arial"/>
      <family val="2"/>
    </font>
    <font>
      <sz val="11"/>
      <color theme="1"/>
      <name val="Calibri"/>
      <family val="2"/>
    </font>
    <font>
      <b/>
      <sz val="12"/>
      <color theme="1"/>
      <name val="Calibri"/>
      <family val="2"/>
    </font>
    <font>
      <i/>
      <sz val="11"/>
      <color theme="1"/>
      <name val="Calibri"/>
      <family val="2"/>
    </font>
    <font>
      <b/>
      <sz val="11"/>
      <color theme="1"/>
      <name val="Calibri"/>
      <family val="2"/>
    </font>
    <font>
      <sz val="11"/>
      <name val="Calibri"/>
      <family val="2"/>
      <scheme val="minor"/>
    </font>
    <font>
      <sz val="10"/>
      <name val="Helv"/>
      <charset val="204"/>
    </font>
    <font>
      <sz val="12"/>
      <name val="Times New Roman"/>
      <family val="1"/>
    </font>
    <font>
      <sz val="11"/>
      <color indexed="8"/>
      <name val="Calibri"/>
      <family val="2"/>
    </font>
    <font>
      <sz val="12"/>
      <color indexed="8"/>
      <name val="新細明體"/>
      <family val="1"/>
      <charset val="136"/>
    </font>
    <font>
      <sz val="10"/>
      <color indexed="9"/>
      <name val="Arial"/>
      <family val="2"/>
    </font>
    <font>
      <sz val="11"/>
      <color indexed="9"/>
      <name val="Calibri"/>
      <family val="2"/>
    </font>
    <font>
      <sz val="12"/>
      <color indexed="9"/>
      <name val="新細明體"/>
      <family val="1"/>
      <charset val="136"/>
    </font>
    <font>
      <sz val="8"/>
      <name val="Times New Roman"/>
      <family val="1"/>
    </font>
    <font>
      <sz val="10"/>
      <color indexed="20"/>
      <name val="Arial"/>
      <family val="2"/>
    </font>
    <font>
      <sz val="11"/>
      <color indexed="20"/>
      <name val="Calibri"/>
      <family val="2"/>
    </font>
    <font>
      <sz val="10"/>
      <name val="Helv"/>
    </font>
    <font>
      <b/>
      <sz val="10"/>
      <color indexed="52"/>
      <name val="Arial"/>
      <family val="2"/>
    </font>
    <font>
      <b/>
      <sz val="11"/>
      <color indexed="52"/>
      <name val="Calibri"/>
      <family val="2"/>
    </font>
    <font>
      <b/>
      <sz val="10"/>
      <color indexed="9"/>
      <name val="Arial"/>
      <family val="2"/>
    </font>
    <font>
      <b/>
      <sz val="11"/>
      <color indexed="9"/>
      <name val="Calibri"/>
      <family val="2"/>
    </font>
    <font>
      <sz val="10"/>
      <name val="Times New Roman"/>
      <family val="1"/>
    </font>
    <font>
      <b/>
      <sz val="10"/>
      <name val="Arial"/>
      <family val="2"/>
    </font>
    <font>
      <b/>
      <sz val="10"/>
      <name val="Times New Roman"/>
      <family val="1"/>
    </font>
    <font>
      <sz val="10"/>
      <color indexed="8"/>
      <name val="Century Gothic"/>
      <family val="2"/>
    </font>
    <font>
      <sz val="8"/>
      <name val="Times"/>
      <family val="1"/>
    </font>
    <font>
      <sz val="11"/>
      <name val="Times New Roman"/>
      <family val="1"/>
    </font>
    <font>
      <sz val="10"/>
      <name val="MS Serif"/>
      <family val="1"/>
    </font>
    <font>
      <sz val="10"/>
      <name val="Times"/>
      <family val="1"/>
    </font>
    <font>
      <sz val="10"/>
      <name val="Century Gothic"/>
      <family val="2"/>
    </font>
    <font>
      <sz val="10"/>
      <name val="MS Sans Serif"/>
      <family val="2"/>
    </font>
    <font>
      <sz val="10"/>
      <color indexed="16"/>
      <name val="MS Serif"/>
      <family val="1"/>
    </font>
    <font>
      <i/>
      <sz val="10"/>
      <color indexed="23"/>
      <name val="Arial"/>
      <family val="2"/>
    </font>
    <font>
      <i/>
      <sz val="11"/>
      <color indexed="23"/>
      <name val="Calibri"/>
      <family val="2"/>
    </font>
    <font>
      <sz val="1"/>
      <color indexed="8"/>
      <name val="Courier"/>
      <family val="3"/>
    </font>
    <font>
      <i/>
      <sz val="1"/>
      <color indexed="8"/>
      <name val="Courier"/>
      <family val="3"/>
    </font>
    <font>
      <sz val="10"/>
      <color indexed="17"/>
      <name val="Arial"/>
      <family val="2"/>
    </font>
    <font>
      <sz val="11"/>
      <color indexed="17"/>
      <name val="Calibri"/>
      <family val="2"/>
    </font>
    <font>
      <b/>
      <sz val="12"/>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b/>
      <sz val="10"/>
      <color indexed="9"/>
      <name val="Times New Roman"/>
      <family val="1"/>
    </font>
    <font>
      <b/>
      <sz val="8"/>
      <name val="MS Sans Serif"/>
      <family val="2"/>
    </font>
    <font>
      <sz val="10"/>
      <color indexed="62"/>
      <name val="Arial"/>
      <family val="2"/>
    </font>
    <font>
      <sz val="11"/>
      <color indexed="62"/>
      <name val="Calibri"/>
      <family val="2"/>
    </font>
    <font>
      <sz val="10"/>
      <color indexed="9"/>
      <name val="Times New Roman"/>
      <family val="1"/>
    </font>
    <font>
      <sz val="10"/>
      <color indexed="52"/>
      <name val="Arial"/>
      <family val="2"/>
    </font>
    <font>
      <sz val="11"/>
      <color indexed="52"/>
      <name val="Calibri"/>
      <family val="2"/>
    </font>
    <font>
      <sz val="10"/>
      <color indexed="60"/>
      <name val="Arial"/>
      <family val="2"/>
    </font>
    <font>
      <sz val="11"/>
      <color indexed="60"/>
      <name val="Calibri"/>
      <family val="2"/>
    </font>
    <font>
      <sz val="7"/>
      <name val="Small Fonts"/>
      <family val="2"/>
    </font>
    <font>
      <b/>
      <i/>
      <sz val="16"/>
      <name val="Helv"/>
    </font>
    <font>
      <sz val="10"/>
      <color theme="1"/>
      <name val="Century Gothic"/>
      <family val="2"/>
    </font>
    <font>
      <sz val="10"/>
      <color theme="1"/>
      <name val="Arial"/>
      <family val="2"/>
    </font>
    <font>
      <sz val="8"/>
      <name val="MS Sans Serif"/>
      <family val="2"/>
    </font>
    <font>
      <b/>
      <sz val="10"/>
      <color indexed="63"/>
      <name val="Arial"/>
      <family val="2"/>
    </font>
    <font>
      <b/>
      <sz val="11"/>
      <color indexed="63"/>
      <name val="Calibri"/>
      <family val="2"/>
    </font>
    <font>
      <b/>
      <i/>
      <sz val="10"/>
      <color indexed="8"/>
      <name val="Arial"/>
      <family val="2"/>
    </font>
    <font>
      <b/>
      <i/>
      <sz val="22"/>
      <color indexed="8"/>
      <name val="Times New Roman"/>
      <family val="1"/>
    </font>
    <font>
      <b/>
      <sz val="10"/>
      <color indexed="10"/>
      <name val="Arial"/>
      <family val="2"/>
    </font>
    <font>
      <b/>
      <sz val="10"/>
      <name val="MS Sans Serif"/>
      <family val="2"/>
    </font>
    <font>
      <sz val="8"/>
      <color indexed="10"/>
      <name val="Arial"/>
      <family val="2"/>
    </font>
    <font>
      <sz val="8"/>
      <name val="Wingdings"/>
      <charset val="2"/>
    </font>
    <font>
      <b/>
      <sz val="10"/>
      <color indexed="60"/>
      <name val="Arial"/>
      <family val="2"/>
    </font>
    <font>
      <sz val="12"/>
      <name val="Arial MT"/>
    </font>
    <font>
      <i/>
      <u/>
      <sz val="10"/>
      <name val="Times New Roman"/>
      <family val="1"/>
    </font>
    <font>
      <b/>
      <sz val="8"/>
      <color indexed="8"/>
      <name val="Helv"/>
    </font>
    <font>
      <u/>
      <sz val="10"/>
      <name val="Arial"/>
      <family val="2"/>
    </font>
    <font>
      <b/>
      <sz val="18"/>
      <color indexed="56"/>
      <name val="Cambria"/>
      <family val="2"/>
    </font>
    <font>
      <b/>
      <sz val="11"/>
      <color indexed="8"/>
      <name val="Calibri"/>
      <family val="2"/>
    </font>
    <font>
      <sz val="11"/>
      <name val="Arial"/>
      <family val="2"/>
    </font>
    <font>
      <sz val="10"/>
      <color indexed="10"/>
      <name val="Arial"/>
      <family val="2"/>
    </font>
    <font>
      <sz val="11"/>
      <color indexed="10"/>
      <name val="Calibri"/>
      <family val="2"/>
    </font>
    <font>
      <b/>
      <sz val="14"/>
      <color indexed="53"/>
      <name val="Arial"/>
      <family val="2"/>
    </font>
    <font>
      <b/>
      <sz val="11"/>
      <name val="Arial"/>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sz val="11"/>
      <color theme="0" tint="-0.34998626667073579"/>
      <name val="Calibri"/>
      <family val="2"/>
      <scheme val="minor"/>
    </font>
    <font>
      <b/>
      <u/>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sz val="10"/>
      <color rgb="FF000000"/>
      <name val="Arial"/>
      <family val="2"/>
    </font>
    <font>
      <b/>
      <sz val="10"/>
      <color rgb="FF000000"/>
      <name val="Arial"/>
      <family val="2"/>
    </font>
    <font>
      <sz val="11"/>
      <color theme="1"/>
      <name val="Arial"/>
      <family val="2"/>
    </font>
    <font>
      <u/>
      <sz val="11"/>
      <color theme="10"/>
      <name val="Calibri"/>
      <family val="2"/>
      <scheme val="minor"/>
    </font>
    <font>
      <sz val="11"/>
      <color theme="6"/>
      <name val="Calibri"/>
      <family val="2"/>
      <scheme val="minor"/>
    </font>
    <font>
      <sz val="8"/>
      <name val="Courier"/>
    </font>
    <font>
      <b/>
      <i/>
      <sz val="11"/>
      <color theme="1"/>
      <name val="Calibri"/>
      <family val="2"/>
      <scheme val="minor"/>
    </font>
    <font>
      <sz val="11"/>
      <color theme="1"/>
      <name val="Arial"/>
    </font>
    <font>
      <sz val="11"/>
      <name val="Calibri"/>
      <family val="2"/>
    </font>
    <font>
      <sz val="11"/>
      <color rgb="FF000000"/>
      <name val="Calibri"/>
      <family val="2"/>
    </font>
    <font>
      <u/>
      <sz val="11"/>
      <color theme="10"/>
      <name val="Arial"/>
    </font>
    <font>
      <b/>
      <sz val="12"/>
      <name val="Times New Roman"/>
      <family val="1"/>
    </font>
    <font>
      <b/>
      <i/>
      <sz val="12"/>
      <name val="Times New Roman"/>
      <family val="1"/>
    </font>
    <font>
      <b/>
      <sz val="12"/>
      <color indexed="8"/>
      <name val="Times New Roman"/>
      <family val="1"/>
    </font>
    <font>
      <sz val="12"/>
      <color indexed="8"/>
      <name val="Times New Roman"/>
      <family val="1"/>
    </font>
    <font>
      <b/>
      <sz val="10"/>
      <name val="TIMESNEWROMAN"/>
    </font>
    <font>
      <b/>
      <sz val="14"/>
      <color indexed="56"/>
      <name val="Arial"/>
    </font>
    <font>
      <sz val="14"/>
      <color indexed="56"/>
      <name val="Arial"/>
      <family val="2"/>
    </font>
    <font>
      <b/>
      <sz val="10"/>
      <name val="TIMES NEW ROMAN"/>
    </font>
    <font>
      <sz val="12"/>
      <color indexed="8"/>
      <name val="Arial"/>
    </font>
    <font>
      <sz val="12"/>
      <color indexed="8"/>
      <name val="Arial"/>
      <family val="2"/>
    </font>
    <font>
      <b/>
      <sz val="11"/>
      <name val="Calibri"/>
      <family val="2"/>
    </font>
    <font>
      <sz val="7"/>
      <color theme="1"/>
      <name val="Arial"/>
    </font>
  </fonts>
  <fills count="83">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EBFF"/>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55"/>
      </patternFill>
    </fill>
    <fill>
      <patternFill patternType="solid">
        <fgColor indexed="26"/>
      </patternFill>
    </fill>
    <fill>
      <patternFill patternType="solid">
        <fgColor indexed="16"/>
      </patternFill>
    </fill>
    <fill>
      <patternFill patternType="solid">
        <fgColor indexed="8"/>
        <bgColor indexed="64"/>
      </patternFill>
    </fill>
    <fill>
      <patternFill patternType="solid">
        <fgColor indexed="26"/>
        <bgColor indexed="64"/>
      </patternFill>
    </fill>
    <fill>
      <patternFill patternType="solid">
        <fgColor indexed="43"/>
        <bgColor indexed="64"/>
      </patternFill>
    </fill>
    <fill>
      <patternFill patternType="solid">
        <fgColor indexed="43"/>
      </patternFill>
    </fill>
    <fill>
      <patternFill patternType="mediumGray">
        <fgColor indexed="22"/>
      </patternFill>
    </fill>
    <fill>
      <patternFill patternType="darkVertical"/>
    </fill>
    <fill>
      <patternFill patternType="solid">
        <fgColor indexed="56"/>
      </patternFill>
    </fill>
    <fill>
      <patternFill patternType="solid">
        <fgColor indexed="21"/>
      </patternFill>
    </fill>
    <fill>
      <patternFill patternType="gray0625"/>
    </fill>
    <fill>
      <patternFill patternType="solid">
        <fgColor indexed="9"/>
      </patternFill>
    </fill>
    <fill>
      <patternFill patternType="solid">
        <fgColor rgb="FFCC99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rgb="FFFFFF00"/>
      </patternFill>
    </fill>
    <fill>
      <patternFill patternType="solid">
        <fgColor theme="0"/>
        <bgColor indexed="64"/>
      </patternFill>
    </fill>
    <fill>
      <patternFill patternType="solid">
        <fgColor rgb="FFB0B0B0"/>
        <bgColor indexed="64"/>
      </patternFill>
    </fill>
    <fill>
      <patternFill patternType="solid">
        <fgColor rgb="FFFFFFFF"/>
        <bgColor indexed="64"/>
      </patternFill>
    </fill>
    <fill>
      <patternFill patternType="solid">
        <fgColor indexed="65"/>
        <bgColor indexed="64"/>
      </patternFill>
    </fill>
    <fill>
      <patternFill patternType="solid">
        <fgColor rgb="FFD3D3D3"/>
        <bgColor indexed="64"/>
      </patternFill>
    </fill>
  </fills>
  <borders count="79">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theme="2"/>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6"/>
      </right>
      <top/>
      <bottom style="thin">
        <color indexed="64"/>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theme="6"/>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theme="6"/>
      </right>
      <top style="thin">
        <color theme="6"/>
      </top>
      <bottom style="thin">
        <color theme="6"/>
      </bottom>
      <diagonal/>
    </border>
    <border>
      <left/>
      <right/>
      <top style="thin">
        <color theme="6"/>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9"/>
      </left>
      <right style="thin">
        <color indexed="9"/>
      </right>
      <top/>
      <bottom/>
      <diagonal/>
    </border>
    <border>
      <left style="medium">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bottom style="double">
        <color indexed="64"/>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F0F0F0"/>
      </left>
      <right style="thin">
        <color rgb="FFF0F0F0"/>
      </right>
      <top style="thin">
        <color rgb="FFF0F0F0"/>
      </top>
      <bottom/>
      <diagonal/>
    </border>
    <border>
      <left style="thin">
        <color rgb="FFF0F0F0"/>
      </left>
      <right/>
      <top style="thin">
        <color rgb="FFF0F0F0"/>
      </top>
      <bottom/>
      <diagonal/>
    </border>
    <border>
      <left/>
      <right style="thin">
        <color rgb="FFF0F0F0"/>
      </right>
      <top style="thin">
        <color rgb="FFF0F0F0"/>
      </top>
      <bottom/>
      <diagonal/>
    </border>
    <border>
      <left style="thin">
        <color rgb="FFF0F0F0"/>
      </left>
      <right/>
      <top style="thin">
        <color rgb="FFF0F0F0"/>
      </top>
      <bottom style="thin">
        <color rgb="FFF0F0F0"/>
      </bottom>
      <diagonal/>
    </border>
    <border>
      <left/>
      <right/>
      <top style="thin">
        <color rgb="FFF0F0F0"/>
      </top>
      <bottom style="thin">
        <color rgb="FFF0F0F0"/>
      </bottom>
      <diagonal/>
    </border>
    <border>
      <left/>
      <right style="thin">
        <color rgb="FFF0F0F0"/>
      </right>
      <top style="thin">
        <color rgb="FFF0F0F0"/>
      </top>
      <bottom style="thin">
        <color rgb="FFF0F0F0"/>
      </bottom>
      <diagonal/>
    </border>
    <border>
      <left style="thin">
        <color rgb="FFF0F0F0"/>
      </left>
      <right style="thin">
        <color rgb="FFF0F0F0"/>
      </right>
      <top/>
      <bottom/>
      <diagonal/>
    </border>
    <border>
      <left style="thin">
        <color rgb="FFF0F0F0"/>
      </left>
      <right/>
      <top/>
      <bottom style="thin">
        <color rgb="FFF0F0F0"/>
      </bottom>
      <diagonal/>
    </border>
    <border>
      <left/>
      <right style="thin">
        <color rgb="FFF0F0F0"/>
      </right>
      <top/>
      <bottom style="thin">
        <color rgb="FFF0F0F0"/>
      </bottom>
      <diagonal/>
    </border>
    <border>
      <left style="thin">
        <color rgb="FFF0F0F0"/>
      </left>
      <right style="thin">
        <color rgb="FFF0F0F0"/>
      </right>
      <top/>
      <bottom style="thin">
        <color rgb="FFF0F0F0"/>
      </bottom>
      <diagonal/>
    </border>
    <border>
      <left style="thin">
        <color rgb="FFF0F0F0"/>
      </left>
      <right style="thin">
        <color rgb="FFF0F0F0"/>
      </right>
      <top style="thin">
        <color rgb="FFF0F0F0"/>
      </top>
      <bottom style="thin">
        <color rgb="FFF0F0F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s>
  <cellStyleXfs count="1858">
    <xf numFmtId="0" fontId="0" fillId="0" borderId="0"/>
    <xf numFmtId="43" fontId="2" fillId="0" borderId="0" applyFont="0" applyFill="0" applyBorder="0" applyAlignment="0" applyProtection="0"/>
    <xf numFmtId="164" fontId="3" fillId="0" borderId="0"/>
    <xf numFmtId="9"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164" fontId="13" fillId="0" borderId="0"/>
    <xf numFmtId="43" fontId="9" fillId="0" borderId="0" applyFont="0" applyFill="0" applyBorder="0" applyAlignment="0" applyProtection="0"/>
    <xf numFmtId="9" fontId="13" fillId="0" borderId="0" applyFont="0" applyFill="0" applyBorder="0" applyAlignment="0" applyProtection="0"/>
    <xf numFmtId="44" fontId="18" fillId="0" borderId="0" applyNumberFormat="0" applyFont="0" applyBorder="0">
      <alignment horizontal="center"/>
    </xf>
    <xf numFmtId="164" fontId="8" fillId="0" borderId="0"/>
    <xf numFmtId="164" fontId="19" fillId="0" borderId="0">
      <alignment horizontal="left" indent="1"/>
    </xf>
    <xf numFmtId="164" fontId="19" fillId="0" borderId="0">
      <alignment horizontal="left" indent="2"/>
    </xf>
    <xf numFmtId="164" fontId="19" fillId="0" borderId="0">
      <alignment horizontal="left" indent="3"/>
    </xf>
    <xf numFmtId="43" fontId="8" fillId="0" borderId="0" applyFont="0" applyFill="0" applyBorder="0" applyAlignment="0" applyProtection="0"/>
    <xf numFmtId="164" fontId="19" fillId="0" borderId="0">
      <alignment horizontal="left" indent="4"/>
    </xf>
    <xf numFmtId="164" fontId="19" fillId="0" borderId="0">
      <alignment horizontal="left" indent="5"/>
    </xf>
    <xf numFmtId="9" fontId="8" fillId="0" borderId="0" applyFont="0" applyFill="0" applyBorder="0" applyAlignment="0" applyProtection="0"/>
    <xf numFmtId="164" fontId="9" fillId="0" borderId="3" applyNumberFormat="0" applyFont="0" applyBorder="0" applyAlignment="0"/>
    <xf numFmtId="164" fontId="32" fillId="0" borderId="0" applyNumberFormat="0" applyFont="0" applyBorder="0" applyAlignment="0">
      <alignment horizontal="center" wrapText="1"/>
    </xf>
    <xf numFmtId="164" fontId="9" fillId="0" borderId="0" applyNumberFormat="0" applyBorder="0">
      <alignment horizontal="center"/>
    </xf>
    <xf numFmtId="0" fontId="37" fillId="0" borderId="0"/>
    <xf numFmtId="44" fontId="37" fillId="0" borderId="0" applyFont="0" applyFill="0" applyBorder="0" applyAlignment="0" applyProtection="0"/>
    <xf numFmtId="164" fontId="9" fillId="0" borderId="0" applyNumberFormat="0" applyFont="0" applyBorder="0">
      <alignment horizontal="center"/>
    </xf>
    <xf numFmtId="184" fontId="8" fillId="0" borderId="0"/>
    <xf numFmtId="44"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93" fontId="9" fillId="0" borderId="0" applyFont="0" applyFill="0" applyBorder="0" applyAlignment="0" applyProtection="0"/>
    <xf numFmtId="194" fontId="9" fillId="0" borderId="0" applyFont="0" applyFill="0" applyBorder="0" applyAlignment="0" applyProtection="0"/>
    <xf numFmtId="9"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0" fontId="42" fillId="0" borderId="0"/>
    <xf numFmtId="0" fontId="43" fillId="0" borderId="0" applyNumberFormat="0" applyFill="0" applyBorder="0" applyAlignment="0" applyProtection="0"/>
    <xf numFmtId="0" fontId="24" fillId="0" borderId="0">
      <alignment wrapText="1"/>
    </xf>
    <xf numFmtId="0" fontId="19" fillId="20" borderId="0" applyNumberFormat="0" applyBorder="0" applyAlignment="0" applyProtection="0"/>
    <xf numFmtId="0" fontId="19" fillId="2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9" fillId="2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4"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9" fillId="2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4"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4"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9" fillId="2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4" fillId="2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4"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9" fillId="2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4" fillId="2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4"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9" fillId="28"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4" fillId="2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4"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9" fillId="30"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4" fillId="3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4"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9" fillId="31" borderId="0" applyNumberFormat="0" applyBorder="0" applyAlignment="0" applyProtection="0"/>
    <xf numFmtId="0" fontId="45" fillId="21" borderId="0" applyNumberFormat="0" applyBorder="0" applyAlignment="0" applyProtection="0">
      <alignment vertical="center"/>
    </xf>
    <xf numFmtId="0" fontId="45" fillId="23" borderId="0" applyNumberFormat="0" applyBorder="0" applyAlignment="0" applyProtection="0">
      <alignment vertical="center"/>
    </xf>
    <xf numFmtId="0" fontId="45" fillId="25" borderId="0" applyNumberFormat="0" applyBorder="0" applyAlignment="0" applyProtection="0">
      <alignment vertical="center"/>
    </xf>
    <xf numFmtId="0" fontId="45" fillId="27" borderId="0" applyNumberFormat="0" applyBorder="0" applyAlignment="0" applyProtection="0">
      <alignment vertical="center"/>
    </xf>
    <xf numFmtId="0" fontId="45" fillId="29" borderId="0" applyNumberFormat="0" applyBorder="0" applyAlignment="0" applyProtection="0">
      <alignment vertical="center"/>
    </xf>
    <xf numFmtId="0" fontId="45" fillId="31" borderId="0" applyNumberFormat="0" applyBorder="0" applyAlignment="0" applyProtection="0">
      <alignment vertical="center"/>
    </xf>
    <xf numFmtId="0" fontId="19" fillId="32" borderId="0" applyNumberFormat="0" applyBorder="0" applyAlignment="0" applyProtection="0"/>
    <xf numFmtId="0" fontId="19" fillId="3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9" fillId="3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4" fillId="3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4"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9"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4"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4"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9" fillId="3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4"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4"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9" fillId="3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9"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4"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4"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9" fillId="27"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9" fillId="3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4"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4"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9" fillId="3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4"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39" borderId="0" applyNumberFormat="0" applyBorder="0" applyAlignment="0" applyProtection="0"/>
    <xf numFmtId="0" fontId="45" fillId="33" borderId="0" applyNumberFormat="0" applyBorder="0" applyAlignment="0" applyProtection="0">
      <alignment vertical="center"/>
    </xf>
    <xf numFmtId="0" fontId="45" fillId="35" borderId="0" applyNumberFormat="0" applyBorder="0" applyAlignment="0" applyProtection="0">
      <alignment vertical="center"/>
    </xf>
    <xf numFmtId="0" fontId="45" fillId="37" borderId="0" applyNumberFormat="0" applyBorder="0" applyAlignment="0" applyProtection="0">
      <alignment vertical="center"/>
    </xf>
    <xf numFmtId="0" fontId="45" fillId="27" borderId="0" applyNumberFormat="0" applyBorder="0" applyAlignment="0" applyProtection="0">
      <alignment vertical="center"/>
    </xf>
    <xf numFmtId="0" fontId="45" fillId="33" borderId="0" applyNumberFormat="0" applyBorder="0" applyAlignment="0" applyProtection="0">
      <alignment vertical="center"/>
    </xf>
    <xf numFmtId="0" fontId="45" fillId="39" borderId="0" applyNumberFormat="0" applyBorder="0" applyAlignment="0" applyProtection="0">
      <alignment vertical="center"/>
    </xf>
    <xf numFmtId="0" fontId="46" fillId="40" borderId="0" applyNumberFormat="0" applyBorder="0" applyAlignment="0" applyProtection="0"/>
    <xf numFmtId="0" fontId="46" fillId="40"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7"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8" fillId="41" borderId="0" applyNumberFormat="0" applyBorder="0" applyAlignment="0" applyProtection="0">
      <alignment vertical="center"/>
    </xf>
    <xf numFmtId="0" fontId="48" fillId="35"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5" borderId="0" applyNumberFormat="0" applyBorder="0" applyAlignment="0" applyProtection="0">
      <alignment vertical="center"/>
    </xf>
    <xf numFmtId="0" fontId="48" fillId="47" borderId="0" applyNumberFormat="0" applyBorder="0" applyAlignment="0" applyProtection="0">
      <alignment vertical="center"/>
    </xf>
    <xf numFmtId="0" fontId="46" fillId="48" borderId="0" applyNumberFormat="0" applyBorder="0" applyAlignment="0" applyProtection="0"/>
    <xf numFmtId="0" fontId="46" fillId="48"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37" fontId="9" fillId="56" borderId="0"/>
    <xf numFmtId="197" fontId="9" fillId="56" borderId="0"/>
    <xf numFmtId="37" fontId="9" fillId="56" borderId="0"/>
    <xf numFmtId="197" fontId="9" fillId="56" borderId="0"/>
    <xf numFmtId="37" fontId="9" fillId="56" borderId="0"/>
    <xf numFmtId="197" fontId="9" fillId="56" borderId="0"/>
    <xf numFmtId="37" fontId="9" fillId="56" borderId="0"/>
    <xf numFmtId="197" fontId="9" fillId="56" borderId="0"/>
    <xf numFmtId="37" fontId="9" fillId="56" borderId="0"/>
    <xf numFmtId="197" fontId="9" fillId="56" borderId="0"/>
    <xf numFmtId="37" fontId="9" fillId="56" borderId="0"/>
    <xf numFmtId="197" fontId="9" fillId="56" borderId="0"/>
    <xf numFmtId="0" fontId="49" fillId="0" borderId="0">
      <alignment horizontal="center" wrapText="1"/>
      <protection locked="0"/>
    </xf>
    <xf numFmtId="37" fontId="23" fillId="56" borderId="0"/>
    <xf numFmtId="198" fontId="23" fillId="56" borderId="0"/>
    <xf numFmtId="197" fontId="23" fillId="56" borderId="0"/>
    <xf numFmtId="0" fontId="50" fillId="22" borderId="0" applyNumberFormat="0" applyBorder="0" applyAlignment="0" applyProtection="0"/>
    <xf numFmtId="0" fontId="50" fillId="22" borderId="0" applyNumberFormat="0" applyBorder="0" applyAlignment="0" applyProtection="0"/>
    <xf numFmtId="0" fontId="51"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9" fillId="0" borderId="0" applyFill="0" applyBorder="0" applyAlignment="0"/>
    <xf numFmtId="199" fontId="9" fillId="0" borderId="0" applyFill="0" applyBorder="0" applyAlignment="0"/>
    <xf numFmtId="171" fontId="9" fillId="0" borderId="0" applyFill="0" applyBorder="0" applyAlignment="0"/>
    <xf numFmtId="200" fontId="9" fillId="0" borderId="0" applyFill="0" applyBorder="0" applyAlignment="0"/>
    <xf numFmtId="201" fontId="9" fillId="0" borderId="0" applyFill="0" applyBorder="0" applyAlignment="0"/>
    <xf numFmtId="44" fontId="52" fillId="0" borderId="0" applyFill="0" applyBorder="0" applyAlignment="0"/>
    <xf numFmtId="202" fontId="9" fillId="0" borderId="0" applyFill="0" applyBorder="0" applyAlignment="0"/>
    <xf numFmtId="199" fontId="9" fillId="0" borderId="0" applyFill="0" applyBorder="0" applyAlignment="0"/>
    <xf numFmtId="0" fontId="53" fillId="57"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4" fillId="56" borderId="31" applyNumberFormat="0" applyAlignment="0" applyProtection="0"/>
    <xf numFmtId="0" fontId="53" fillId="56"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3" fillId="56"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3" fillId="56"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3" fillId="56"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3" fillId="56"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3" fillId="56"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3" fillId="56" borderId="31" applyNumberFormat="0" applyAlignment="0" applyProtection="0"/>
    <xf numFmtId="0" fontId="53" fillId="56" borderId="31" applyNumberFormat="0" applyAlignment="0" applyProtection="0"/>
    <xf numFmtId="0" fontId="53" fillId="57" borderId="31" applyNumberFormat="0" applyAlignment="0" applyProtection="0"/>
    <xf numFmtId="0" fontId="53" fillId="57" borderId="31" applyNumberFormat="0" applyAlignment="0" applyProtection="0"/>
    <xf numFmtId="0" fontId="53" fillId="56" borderId="31" applyNumberFormat="0" applyAlignment="0" applyProtection="0"/>
    <xf numFmtId="0" fontId="53" fillId="56" borderId="31" applyNumberFormat="0" applyAlignment="0" applyProtection="0"/>
    <xf numFmtId="0" fontId="55" fillId="58" borderId="32" applyNumberFormat="0" applyAlignment="0" applyProtection="0"/>
    <xf numFmtId="0" fontId="55" fillId="58" borderId="32" applyNumberFormat="0" applyAlignment="0" applyProtection="0"/>
    <xf numFmtId="0" fontId="56" fillId="59" borderId="32" applyNumberFormat="0" applyAlignment="0" applyProtection="0"/>
    <xf numFmtId="0" fontId="55" fillId="59" borderId="32" applyNumberFormat="0" applyAlignment="0" applyProtection="0"/>
    <xf numFmtId="0" fontId="55" fillId="59" borderId="32" applyNumberFormat="0" applyAlignment="0" applyProtection="0"/>
    <xf numFmtId="0" fontId="55" fillId="58" borderId="32" applyNumberFormat="0" applyAlignment="0" applyProtection="0"/>
    <xf numFmtId="0" fontId="55" fillId="59" borderId="32" applyNumberFormat="0" applyAlignment="0" applyProtection="0"/>
    <xf numFmtId="0" fontId="24" fillId="60" borderId="0">
      <alignment horizontal="center" wrapText="1"/>
    </xf>
    <xf numFmtId="197" fontId="24" fillId="60" borderId="0">
      <alignment horizontal="center" wrapText="1"/>
    </xf>
    <xf numFmtId="0" fontId="57" fillId="0" borderId="2">
      <alignment horizontal="centerContinuous"/>
    </xf>
    <xf numFmtId="37" fontId="58" fillId="0" borderId="33">
      <alignment horizontal="center" wrapText="1"/>
    </xf>
    <xf numFmtId="0" fontId="59" fillId="0" borderId="1"/>
    <xf numFmtId="44" fontId="52" fillId="0" borderId="0" applyFont="0" applyFill="0" applyBorder="0" applyAlignment="0" applyProtection="0"/>
    <xf numFmtId="3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xf numFmtId="204" fontId="9" fillId="0" borderId="0">
      <protection locked="0"/>
    </xf>
    <xf numFmtId="0" fontId="61" fillId="0" borderId="0"/>
    <xf numFmtId="0" fontId="52" fillId="0" borderId="0"/>
    <xf numFmtId="205" fontId="62" fillId="0" borderId="0">
      <protection locked="0"/>
    </xf>
    <xf numFmtId="0" fontId="61" fillId="0" borderId="0"/>
    <xf numFmtId="0" fontId="63" fillId="0" borderId="0" applyNumberFormat="0" applyAlignment="0">
      <alignment horizontal="left"/>
    </xf>
    <xf numFmtId="0" fontId="64" fillId="0" borderId="0"/>
    <xf numFmtId="19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7" fillId="0" borderId="0" applyFont="0" applyFill="0" applyBorder="0" applyAlignment="0" applyProtection="0"/>
    <xf numFmtId="44"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9" fillId="0" borderId="0" applyFont="0" applyFill="0" applyBorder="0" applyAlignment="0" applyProtection="0"/>
    <xf numFmtId="204" fontId="9" fillId="0" borderId="0">
      <protection locked="0"/>
    </xf>
    <xf numFmtId="206" fontId="9" fillId="0" borderId="0"/>
    <xf numFmtId="15" fontId="66" fillId="0" borderId="0"/>
    <xf numFmtId="14" fontId="19" fillId="0" borderId="0" applyFill="0" applyBorder="0" applyAlignment="0"/>
    <xf numFmtId="15" fontId="66" fillId="0" borderId="0"/>
    <xf numFmtId="207" fontId="9" fillId="57" borderId="0" applyFont="0" applyFill="0" applyBorder="0" applyAlignment="0" applyProtection="0">
      <alignment vertical="center"/>
    </xf>
    <xf numFmtId="208" fontId="9" fillId="57" borderId="0" applyFont="0" applyFill="0" applyBorder="0" applyAlignment="0" applyProtection="0">
      <alignment vertical="center"/>
    </xf>
    <xf numFmtId="39" fontId="24" fillId="19" borderId="0" applyFont="0" applyFill="0" applyBorder="0" applyAlignment="0" applyProtection="0">
      <alignment vertical="center"/>
    </xf>
    <xf numFmtId="9" fontId="59" fillId="57" borderId="0" applyFill="0" applyBorder="0" applyAlignment="0">
      <alignment horizontal="center"/>
    </xf>
    <xf numFmtId="209" fontId="9" fillId="0" borderId="0"/>
    <xf numFmtId="0" fontId="9" fillId="0" borderId="0" applyFill="0" applyBorder="0" applyAlignment="0"/>
    <xf numFmtId="199" fontId="9" fillId="0" borderId="0" applyFill="0" applyBorder="0" applyAlignment="0"/>
    <xf numFmtId="44" fontId="52" fillId="0" borderId="0" applyFill="0" applyBorder="0" applyAlignment="0"/>
    <xf numFmtId="202" fontId="9" fillId="0" borderId="0" applyFill="0" applyBorder="0" applyAlignment="0"/>
    <xf numFmtId="199" fontId="9" fillId="0" borderId="0" applyFill="0" applyBorder="0" applyAlignment="0"/>
    <xf numFmtId="0" fontId="67" fillId="0" borderId="0" applyNumberFormat="0" applyAlignment="0">
      <alignment horizontal="left"/>
    </xf>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210" fontId="66" fillId="61" borderId="34" applyFont="0" applyAlignment="0"/>
    <xf numFmtId="0" fontId="70" fillId="0" borderId="0">
      <protection locked="0"/>
    </xf>
    <xf numFmtId="0" fontId="70"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204" fontId="9" fillId="0" borderId="0">
      <protection locked="0"/>
    </xf>
    <xf numFmtId="37" fontId="23" fillId="56" borderId="0"/>
    <xf numFmtId="197" fontId="23" fillId="56" borderId="0"/>
    <xf numFmtId="39" fontId="23" fillId="56" borderId="0"/>
    <xf numFmtId="197" fontId="23" fillId="56" borderId="0"/>
    <xf numFmtId="0" fontId="64" fillId="0" borderId="0"/>
    <xf numFmtId="0" fontId="72" fillId="24" borderId="0" applyNumberFormat="0" applyBorder="0" applyAlignment="0" applyProtection="0"/>
    <xf numFmtId="0" fontId="72" fillId="24" borderId="0" applyNumberFormat="0" applyBorder="0" applyAlignment="0" applyProtection="0"/>
    <xf numFmtId="0" fontId="73"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38" fontId="23" fillId="57" borderId="0" applyNumberFormat="0" applyBorder="0" applyAlignment="0" applyProtection="0"/>
    <xf numFmtId="0" fontId="74" fillId="0" borderId="6" applyNumberFormat="0" applyAlignment="0" applyProtection="0">
      <alignment horizontal="left" vertical="center"/>
    </xf>
    <xf numFmtId="0" fontId="74" fillId="0" borderId="3">
      <alignment horizontal="left" vertical="center"/>
    </xf>
    <xf numFmtId="0" fontId="75" fillId="0" borderId="35" applyNumberFormat="0" applyFill="0" applyAlignment="0" applyProtection="0"/>
    <xf numFmtId="0" fontId="75" fillId="0" borderId="35" applyNumberFormat="0" applyFill="0" applyAlignment="0" applyProtection="0"/>
    <xf numFmtId="0" fontId="76" fillId="0" borderId="35" applyNumberFormat="0" applyFill="0" applyAlignment="0" applyProtection="0"/>
    <xf numFmtId="0" fontId="75" fillId="0" borderId="35"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8" fillId="0" borderId="36" applyNumberFormat="0" applyFill="0" applyAlignment="0" applyProtection="0"/>
    <xf numFmtId="0" fontId="77" fillId="0" borderId="36" applyNumberFormat="0" applyFill="0" applyAlignment="0" applyProtection="0"/>
    <xf numFmtId="0" fontId="79" fillId="0" borderId="37" applyNumberFormat="0" applyFill="0" applyAlignment="0" applyProtection="0"/>
    <xf numFmtId="0" fontId="79" fillId="0" borderId="37" applyNumberFormat="0" applyFill="0" applyAlignment="0" applyProtection="0"/>
    <xf numFmtId="0" fontId="80" fillId="0" borderId="37" applyNumberFormat="0" applyFill="0" applyAlignment="0" applyProtection="0"/>
    <xf numFmtId="0" fontId="79" fillId="0" borderId="3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1" fillId="62" borderId="38">
      <alignment horizontal="center"/>
    </xf>
    <xf numFmtId="0" fontId="81" fillId="62" borderId="38" applyAlignment="0">
      <alignment horizontal="center"/>
    </xf>
    <xf numFmtId="0" fontId="81" fillId="62" borderId="39"/>
    <xf numFmtId="0" fontId="82" fillId="0" borderId="5">
      <alignment horizontal="center"/>
    </xf>
    <xf numFmtId="0" fontId="82" fillId="0" borderId="0">
      <alignment horizontal="center"/>
    </xf>
    <xf numFmtId="211" fontId="66" fillId="0" borderId="0"/>
    <xf numFmtId="10" fontId="23" fillId="63" borderId="29" applyNumberFormat="0" applyBorder="0" applyAlignment="0" applyProtection="0"/>
    <xf numFmtId="0" fontId="83" fillId="30"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4" fillId="31" borderId="31" applyNumberFormat="0" applyAlignment="0" applyProtection="0"/>
    <xf numFmtId="0" fontId="83" fillId="31"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1"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1"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1"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1"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1"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1" borderId="31" applyNumberFormat="0" applyAlignment="0" applyProtection="0"/>
    <xf numFmtId="0" fontId="83" fillId="31" borderId="31" applyNumberFormat="0" applyAlignment="0" applyProtection="0"/>
    <xf numFmtId="0" fontId="83" fillId="30" borderId="31" applyNumberFormat="0" applyAlignment="0" applyProtection="0"/>
    <xf numFmtId="0" fontId="83" fillId="30" borderId="31" applyNumberFormat="0" applyAlignment="0" applyProtection="0"/>
    <xf numFmtId="0" fontId="83" fillId="31" borderId="31" applyNumberFormat="0" applyAlignment="0" applyProtection="0"/>
    <xf numFmtId="0" fontId="83" fillId="31" borderId="31" applyNumberFormat="0" applyAlignment="0" applyProtection="0"/>
    <xf numFmtId="0" fontId="85" fillId="0" borderId="0" applyNumberFormat="0" applyFill="0" applyBorder="0" applyAlignment="0" applyProtection="0">
      <protection locked="0"/>
    </xf>
    <xf numFmtId="0" fontId="66" fillId="0" borderId="0"/>
    <xf numFmtId="49" fontId="57" fillId="0" borderId="0" applyFill="0" applyBorder="0" applyProtection="0"/>
    <xf numFmtId="212" fontId="57" fillId="0" borderId="0" applyFill="0" applyBorder="0" applyProtection="0"/>
    <xf numFmtId="213" fontId="57" fillId="0" borderId="0" applyFill="0" applyBorder="0" applyProtection="0"/>
    <xf numFmtId="0" fontId="9" fillId="0" borderId="0" applyFill="0" applyBorder="0" applyAlignment="0"/>
    <xf numFmtId="199" fontId="9" fillId="0" borderId="0" applyFill="0" applyBorder="0" applyAlignment="0"/>
    <xf numFmtId="44" fontId="52" fillId="0" borderId="0" applyFill="0" applyBorder="0" applyAlignment="0"/>
    <xf numFmtId="202" fontId="9" fillId="0" borderId="0" applyFill="0" applyBorder="0" applyAlignment="0"/>
    <xf numFmtId="199" fontId="9" fillId="0" borderId="0" applyFill="0" applyBorder="0" applyAlignment="0"/>
    <xf numFmtId="0" fontId="86" fillId="0" borderId="40" applyNumberFormat="0" applyFill="0" applyAlignment="0" applyProtection="0"/>
    <xf numFmtId="0" fontId="86" fillId="0" borderId="40" applyNumberFormat="0" applyFill="0" applyAlignment="0" applyProtection="0"/>
    <xf numFmtId="0" fontId="87" fillId="0" borderId="40" applyNumberFormat="0" applyFill="0" applyAlignment="0" applyProtection="0"/>
    <xf numFmtId="0" fontId="86" fillId="0" borderId="40" applyNumberFormat="0" applyFill="0" applyAlignment="0" applyProtection="0"/>
    <xf numFmtId="5" fontId="59" fillId="57" borderId="0" applyFill="0" applyBorder="0">
      <alignment horizontal="right"/>
    </xf>
    <xf numFmtId="37" fontId="24" fillId="56" borderId="0"/>
    <xf numFmtId="197" fontId="24" fillId="56" borderId="0"/>
    <xf numFmtId="0" fontId="23" fillId="0" borderId="0" applyNumberFormat="0" applyFon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9"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4" borderId="0" applyNumberFormat="0" applyBorder="0" applyAlignment="0" applyProtection="0"/>
    <xf numFmtId="0" fontId="88" fillId="65" borderId="0" applyNumberFormat="0" applyBorder="0" applyAlignment="0" applyProtection="0"/>
    <xf numFmtId="0" fontId="57" fillId="0" borderId="0"/>
    <xf numFmtId="37" fontId="90" fillId="0" borderId="0"/>
    <xf numFmtId="214" fontId="91"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2" fillId="0" borderId="0"/>
    <xf numFmtId="0" fontId="9" fillId="0" borderId="0"/>
    <xf numFmtId="0" fontId="92" fillId="0" borderId="0"/>
    <xf numFmtId="0" fontId="9" fillId="0" borderId="0"/>
    <xf numFmtId="0" fontId="92" fillId="0" borderId="0"/>
    <xf numFmtId="0" fontId="9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92"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9" fillId="0" borderId="0"/>
    <xf numFmtId="0" fontId="9"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9" fillId="0" borderId="0"/>
    <xf numFmtId="0" fontId="9" fillId="0" borderId="0"/>
    <xf numFmtId="0" fontId="9" fillId="0" borderId="0"/>
    <xf numFmtId="0" fontId="9" fillId="0" borderId="0"/>
    <xf numFmtId="0" fontId="2" fillId="0" borderId="0"/>
    <xf numFmtId="0" fontId="2" fillId="0" borderId="0"/>
    <xf numFmtId="0" fontId="44" fillId="0" borderId="0"/>
    <xf numFmtId="0" fontId="44" fillId="0" borderId="0"/>
    <xf numFmtId="0" fontId="44" fillId="0" borderId="0"/>
    <xf numFmtId="0" fontId="44" fillId="0" borderId="0"/>
    <xf numFmtId="0" fontId="9" fillId="0" borderId="0"/>
    <xf numFmtId="0" fontId="9" fillId="0" borderId="0"/>
    <xf numFmtId="0" fontId="2" fillId="0" borderId="0"/>
    <xf numFmtId="0" fontId="9" fillId="0" borderId="0"/>
    <xf numFmtId="0" fontId="92" fillId="0" borderId="0"/>
    <xf numFmtId="0" fontId="92" fillId="0" borderId="0"/>
    <xf numFmtId="0" fontId="92" fillId="0" borderId="0"/>
    <xf numFmtId="0" fontId="9" fillId="0" borderId="0"/>
    <xf numFmtId="0" fontId="44" fillId="0" borderId="0"/>
    <xf numFmtId="0" fontId="44" fillId="0" borderId="0"/>
    <xf numFmtId="0" fontId="44" fillId="0" borderId="0"/>
    <xf numFmtId="0" fontId="44" fillId="0" borderId="0"/>
    <xf numFmtId="0" fontId="9" fillId="0" borderId="0"/>
    <xf numFmtId="0" fontId="9"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57" fillId="0" borderId="0"/>
    <xf numFmtId="0" fontId="2" fillId="0" borderId="0"/>
    <xf numFmtId="0" fontId="9" fillId="0" borderId="0"/>
    <xf numFmtId="0" fontId="9"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44" fillId="0" borderId="0"/>
    <xf numFmtId="0" fontId="44" fillId="0" borderId="0"/>
    <xf numFmtId="0" fontId="44" fillId="0" borderId="0"/>
    <xf numFmtId="0" fontId="65" fillId="0" borderId="0"/>
    <xf numFmtId="0" fontId="2" fillId="0" borderId="0"/>
    <xf numFmtId="0" fontId="2" fillId="0" borderId="0"/>
    <xf numFmtId="0" fontId="44" fillId="0" borderId="0"/>
    <xf numFmtId="0" fontId="44" fillId="0" borderId="0"/>
    <xf numFmtId="0" fontId="44" fillId="0" borderId="0"/>
    <xf numFmtId="0" fontId="44" fillId="0" borderId="0"/>
    <xf numFmtId="0" fontId="65" fillId="0" borderId="0"/>
    <xf numFmtId="0" fontId="2" fillId="0" borderId="0"/>
    <xf numFmtId="0" fontId="65" fillId="0" borderId="0"/>
    <xf numFmtId="0" fontId="44" fillId="0" borderId="0"/>
    <xf numFmtId="0" fontId="44" fillId="0" borderId="0"/>
    <xf numFmtId="0" fontId="44" fillId="0" borderId="0"/>
    <xf numFmtId="0" fontId="9" fillId="0" borderId="0"/>
    <xf numFmtId="0" fontId="9"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43" fontId="9" fillId="0" borderId="0"/>
    <xf numFmtId="43" fontId="9" fillId="0" borderId="0"/>
    <xf numFmtId="43" fontId="9" fillId="0" borderId="0"/>
    <xf numFmtId="43" fontId="9" fillId="0" borderId="0"/>
    <xf numFmtId="0" fontId="2" fillId="0" borderId="0"/>
    <xf numFmtId="0" fontId="9" fillId="0" borderId="0"/>
    <xf numFmtId="0" fontId="9" fillId="0" borderId="0"/>
    <xf numFmtId="0" fontId="44"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2" fillId="0" borderId="0"/>
    <xf numFmtId="0" fontId="9" fillId="0" borderId="0"/>
    <xf numFmtId="0" fontId="2" fillId="0" borderId="0"/>
    <xf numFmtId="0" fontId="9" fillId="0" borderId="0"/>
    <xf numFmtId="0" fontId="9" fillId="0" borderId="0"/>
    <xf numFmtId="0" fontId="92" fillId="0" borderId="0"/>
    <xf numFmtId="0" fontId="92" fillId="0" borderId="0"/>
    <xf numFmtId="0" fontId="92" fillId="0" borderId="0"/>
    <xf numFmtId="0" fontId="92" fillId="0" borderId="0"/>
    <xf numFmtId="0" fontId="92" fillId="0" borderId="0"/>
    <xf numFmtId="0" fontId="9" fillId="0" borderId="0"/>
    <xf numFmtId="0" fontId="9" fillId="0" borderId="0"/>
    <xf numFmtId="0" fontId="92" fillId="0" borderId="0"/>
    <xf numFmtId="0" fontId="93" fillId="0" borderId="0"/>
    <xf numFmtId="0" fontId="9" fillId="0" borderId="0"/>
    <xf numFmtId="0" fontId="9"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2" fillId="0" borderId="0"/>
    <xf numFmtId="0" fontId="92" fillId="0" borderId="0"/>
    <xf numFmtId="0" fontId="92" fillId="0" borderId="0"/>
    <xf numFmtId="0" fontId="92" fillId="0" borderId="0"/>
    <xf numFmtId="0" fontId="92" fillId="0" borderId="0"/>
    <xf numFmtId="40" fontId="94" fillId="0" borderId="0"/>
    <xf numFmtId="0" fontId="19" fillId="63" borderId="41" applyNumberFormat="0" applyFont="0" applyAlignment="0" applyProtection="0"/>
    <xf numFmtId="0" fontId="19" fillId="60" borderId="41" applyNumberFormat="0" applyFont="0" applyAlignment="0" applyProtection="0"/>
    <xf numFmtId="0" fontId="19" fillId="63" borderId="41" applyNumberFormat="0" applyFont="0" applyAlignment="0" applyProtection="0"/>
    <xf numFmtId="0" fontId="44" fillId="60" borderId="41"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44" fillId="60" borderId="41"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19" fillId="63" borderId="41" applyNumberFormat="0" applyFont="0" applyAlignment="0" applyProtection="0"/>
    <xf numFmtId="0" fontId="19" fillId="63" borderId="41"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19" fillId="63" borderId="41"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66" fillId="60" borderId="41" applyNumberFormat="0" applyFont="0" applyAlignment="0" applyProtection="0"/>
    <xf numFmtId="0" fontId="44" fillId="6" borderId="28" applyNumberFormat="0" applyFont="0" applyAlignment="0" applyProtection="0"/>
    <xf numFmtId="0" fontId="44" fillId="6" borderId="28" applyNumberFormat="0" applyFont="0" applyAlignment="0" applyProtection="0"/>
    <xf numFmtId="0" fontId="66" fillId="60" borderId="41" applyNumberFormat="0" applyFont="0" applyAlignment="0" applyProtection="0"/>
    <xf numFmtId="0" fontId="19" fillId="60" borderId="41" applyNumberFormat="0" applyFont="0" applyAlignment="0" applyProtection="0"/>
    <xf numFmtId="0" fontId="44" fillId="60" borderId="41" applyNumberFormat="0" applyFont="0" applyAlignment="0" applyProtection="0"/>
    <xf numFmtId="0" fontId="19" fillId="63" borderId="41" applyNumberFormat="0" applyFont="0" applyAlignment="0" applyProtection="0"/>
    <xf numFmtId="0" fontId="9" fillId="60" borderId="41" applyNumberFormat="0" applyFont="0" applyAlignment="0" applyProtection="0"/>
    <xf numFmtId="0" fontId="9" fillId="60" borderId="41" applyNumberFormat="0" applyFont="0" applyAlignment="0" applyProtection="0"/>
    <xf numFmtId="0" fontId="9" fillId="60" borderId="41" applyNumberFormat="0" applyFont="0" applyAlignment="0" applyProtection="0"/>
    <xf numFmtId="0" fontId="19" fillId="63" borderId="41" applyNumberFormat="0" applyFont="0" applyAlignment="0" applyProtection="0"/>
    <xf numFmtId="0" fontId="9" fillId="60" borderId="41" applyNumberFormat="0" applyFont="0" applyAlignment="0" applyProtection="0"/>
    <xf numFmtId="0" fontId="19" fillId="63" borderId="41" applyNumberFormat="0" applyFont="0" applyAlignment="0" applyProtection="0"/>
    <xf numFmtId="0" fontId="9" fillId="60" borderId="41" applyNumberFormat="0" applyFont="0" applyAlignment="0" applyProtection="0"/>
    <xf numFmtId="0" fontId="9" fillId="60" borderId="41" applyNumberFormat="0" applyFont="0" applyAlignment="0" applyProtection="0"/>
    <xf numFmtId="0" fontId="19" fillId="60" borderId="41" applyNumberFormat="0" applyFont="0" applyAlignment="0" applyProtection="0"/>
    <xf numFmtId="0" fontId="9" fillId="60" borderId="41" applyNumberFormat="0" applyFont="0" applyAlignment="0" applyProtection="0"/>
    <xf numFmtId="0" fontId="9" fillId="60" borderId="41" applyNumberFormat="0" applyFont="0" applyAlignment="0" applyProtection="0"/>
    <xf numFmtId="0" fontId="19" fillId="63" borderId="41" applyNumberFormat="0" applyFont="0" applyAlignment="0" applyProtection="0"/>
    <xf numFmtId="0" fontId="19" fillId="63" borderId="41" applyNumberFormat="0" applyFont="0" applyAlignment="0" applyProtection="0"/>
    <xf numFmtId="0" fontId="19" fillId="60" borderId="41" applyNumberFormat="0" applyFont="0" applyAlignment="0" applyProtection="0"/>
    <xf numFmtId="0" fontId="19" fillId="60" borderId="41" applyNumberFormat="0" applyFont="0" applyAlignment="0" applyProtection="0"/>
    <xf numFmtId="0" fontId="19" fillId="63" borderId="41" applyNumberFormat="0" applyFont="0" applyAlignment="0" applyProtection="0"/>
    <xf numFmtId="0" fontId="19" fillId="63" borderId="41" applyNumberFormat="0" applyFont="0" applyAlignment="0" applyProtection="0"/>
    <xf numFmtId="0" fontId="19" fillId="60" borderId="41" applyNumberFormat="0" applyFont="0" applyAlignment="0" applyProtection="0"/>
    <xf numFmtId="0" fontId="19" fillId="60" borderId="41" applyNumberFormat="0" applyFont="0" applyAlignment="0" applyProtection="0"/>
    <xf numFmtId="0" fontId="19" fillId="63" borderId="41" applyNumberFormat="0" applyFont="0" applyAlignment="0" applyProtection="0"/>
    <xf numFmtId="0" fontId="19" fillId="63" borderId="41" applyNumberFormat="0" applyFont="0" applyAlignment="0" applyProtection="0"/>
    <xf numFmtId="0" fontId="19" fillId="60" borderId="41" applyNumberFormat="0" applyFont="0" applyAlignment="0" applyProtection="0"/>
    <xf numFmtId="0" fontId="19" fillId="60" borderId="41" applyNumberFormat="0" applyFont="0" applyAlignment="0" applyProtection="0"/>
    <xf numFmtId="0" fontId="19" fillId="63" borderId="41" applyNumberFormat="0" applyFont="0" applyAlignment="0" applyProtection="0"/>
    <xf numFmtId="0" fontId="19" fillId="63" borderId="41" applyNumberFormat="0" applyFont="0" applyAlignment="0" applyProtection="0"/>
    <xf numFmtId="0" fontId="19" fillId="60" borderId="41" applyNumberFormat="0" applyFont="0" applyAlignment="0" applyProtection="0"/>
    <xf numFmtId="0" fontId="19" fillId="60" borderId="41" applyNumberFormat="0" applyFont="0" applyAlignment="0" applyProtection="0"/>
    <xf numFmtId="0" fontId="19" fillId="63" borderId="41" applyNumberFormat="0" applyFont="0" applyAlignment="0" applyProtection="0"/>
    <xf numFmtId="0" fontId="19" fillId="63" borderId="41" applyNumberFormat="0" applyFont="0" applyAlignment="0" applyProtection="0"/>
    <xf numFmtId="0" fontId="19" fillId="60" borderId="41" applyNumberFormat="0" applyFont="0" applyAlignment="0" applyProtection="0"/>
    <xf numFmtId="0" fontId="19" fillId="60" borderId="41" applyNumberFormat="0" applyFont="0" applyAlignment="0" applyProtection="0"/>
    <xf numFmtId="0" fontId="19" fillId="63" borderId="41" applyNumberFormat="0" applyFont="0" applyAlignment="0" applyProtection="0"/>
    <xf numFmtId="0" fontId="19" fillId="63" borderId="41" applyNumberFormat="0" applyFont="0" applyAlignment="0" applyProtection="0"/>
    <xf numFmtId="0" fontId="19" fillId="60" borderId="41" applyNumberFormat="0" applyFont="0" applyAlignment="0" applyProtection="0"/>
    <xf numFmtId="0" fontId="19" fillId="60" borderId="41" applyNumberFormat="0" applyFont="0" applyAlignment="0" applyProtection="0"/>
    <xf numFmtId="0" fontId="95" fillId="57"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6" fillId="56" borderId="42" applyNumberFormat="0" applyAlignment="0" applyProtection="0"/>
    <xf numFmtId="0" fontId="95" fillId="56"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5" fillId="56"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5" fillId="56"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5" fillId="56"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5" fillId="56"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5" fillId="56"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5" fillId="56" borderId="42" applyNumberFormat="0" applyAlignment="0" applyProtection="0"/>
    <xf numFmtId="0" fontId="95" fillId="56" borderId="42" applyNumberFormat="0" applyAlignment="0" applyProtection="0"/>
    <xf numFmtId="0" fontId="95" fillId="57" borderId="42" applyNumberFormat="0" applyAlignment="0" applyProtection="0"/>
    <xf numFmtId="0" fontId="95" fillId="57" borderId="42" applyNumberFormat="0" applyAlignment="0" applyProtection="0"/>
    <xf numFmtId="0" fontId="95" fillId="56" borderId="42" applyNumberFormat="0" applyAlignment="0" applyProtection="0"/>
    <xf numFmtId="0" fontId="95" fillId="56" borderId="42" applyNumberFormat="0" applyAlignment="0" applyProtection="0"/>
    <xf numFmtId="4" fontId="19" fillId="19" borderId="0">
      <alignment horizontal="right"/>
    </xf>
    <xf numFmtId="0" fontId="97" fillId="19" borderId="0">
      <alignment horizontal="center" vertical="center"/>
    </xf>
    <xf numFmtId="0" fontId="18" fillId="19" borderId="27"/>
    <xf numFmtId="0" fontId="97" fillId="19" borderId="0" applyBorder="0">
      <alignment horizontal="centerContinuous"/>
    </xf>
    <xf numFmtId="0" fontId="98" fillId="19" borderId="0" applyBorder="0">
      <alignment horizontal="centerContinuous"/>
    </xf>
    <xf numFmtId="37" fontId="99" fillId="0" borderId="0" applyNumberFormat="0" applyFill="0" applyBorder="0" applyAlignment="0" applyProtection="0"/>
    <xf numFmtId="14" fontId="49" fillId="0" borderId="0">
      <alignment horizontal="center" wrapText="1"/>
      <protection locked="0"/>
    </xf>
    <xf numFmtId="0" fontId="61" fillId="0" borderId="0"/>
    <xf numFmtId="201" fontId="9" fillId="0" borderId="0" applyFont="0" applyFill="0" applyBorder="0" applyAlignment="0" applyProtection="0"/>
    <xf numFmtId="215" fontId="9" fillId="0" borderId="0" applyFont="0" applyFill="0" applyBorder="0" applyAlignment="0" applyProtection="0"/>
    <xf numFmtId="10" fontId="9"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7"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7"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0"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0" fontId="9" fillId="0" borderId="0" applyFill="0" applyBorder="0" applyAlignment="0"/>
    <xf numFmtId="199" fontId="9" fillId="0" borderId="0" applyFill="0" applyBorder="0" applyAlignment="0"/>
    <xf numFmtId="44" fontId="52" fillId="0" borderId="0" applyFill="0" applyBorder="0" applyAlignment="0"/>
    <xf numFmtId="202" fontId="9" fillId="0" borderId="0" applyFill="0" applyBorder="0" applyAlignment="0"/>
    <xf numFmtId="199" fontId="9" fillId="0" borderId="0" applyFill="0" applyBorder="0" applyAlignment="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100" fillId="0" borderId="5">
      <alignment horizontal="center"/>
    </xf>
    <xf numFmtId="3" fontId="66" fillId="0" borderId="0" applyFont="0" applyFill="0" applyBorder="0" applyAlignment="0" applyProtection="0"/>
    <xf numFmtId="0" fontId="66" fillId="66" borderId="0" applyNumberFormat="0" applyFont="0" applyBorder="0" applyAlignment="0" applyProtection="0"/>
    <xf numFmtId="0" fontId="59" fillId="0" borderId="0" applyNumberFormat="0" applyAlignment="0"/>
    <xf numFmtId="37" fontId="101" fillId="0" borderId="0">
      <alignment horizontal="left"/>
    </xf>
    <xf numFmtId="0" fontId="102" fillId="67" borderId="0" applyNumberFormat="0" applyFont="0" applyBorder="0" applyAlignment="0">
      <alignment horizontal="center"/>
    </xf>
    <xf numFmtId="210" fontId="66" fillId="68" borderId="34" applyFont="0" applyAlignment="0">
      <protection locked="0"/>
    </xf>
    <xf numFmtId="37" fontId="103" fillId="0" borderId="0" applyNumberFormat="0" applyFill="0" applyBorder="0" applyAlignment="0" applyProtection="0"/>
    <xf numFmtId="216" fontId="23" fillId="0" borderId="0" applyNumberFormat="0" applyFill="0" applyBorder="0" applyAlignment="0" applyProtection="0">
      <alignment horizontal="left"/>
    </xf>
    <xf numFmtId="37" fontId="9" fillId="0" borderId="0">
      <alignment horizontal="right"/>
    </xf>
    <xf numFmtId="210" fontId="66" fillId="69" borderId="34" applyFont="0" applyAlignment="0"/>
    <xf numFmtId="0" fontId="102" fillId="1" borderId="3" applyNumberFormat="0" applyFont="0" applyAlignment="0">
      <alignment horizontal="center"/>
    </xf>
    <xf numFmtId="0" fontId="57" fillId="70" borderId="43" applyNumberFormat="0" applyFont="0" applyBorder="0" applyAlignment="0" applyProtection="0">
      <alignment wrapText="1"/>
    </xf>
    <xf numFmtId="37" fontId="23" fillId="71" borderId="44"/>
    <xf numFmtId="197" fontId="23" fillId="71" borderId="44"/>
    <xf numFmtId="0" fontId="24" fillId="60" borderId="44">
      <alignment horizontal="center"/>
    </xf>
    <xf numFmtId="197" fontId="24" fillId="60" borderId="44">
      <alignment horizontal="center"/>
    </xf>
    <xf numFmtId="37" fontId="9" fillId="71" borderId="0">
      <alignment horizontal="right"/>
    </xf>
    <xf numFmtId="197" fontId="9" fillId="71" borderId="0">
      <alignment horizontal="right"/>
    </xf>
    <xf numFmtId="37" fontId="9" fillId="71" borderId="0">
      <alignment horizontal="right"/>
    </xf>
    <xf numFmtId="197" fontId="9" fillId="71" borderId="0">
      <alignment horizontal="right"/>
    </xf>
    <xf numFmtId="0" fontId="94" fillId="0" borderId="0" applyNumberFormat="0" applyFill="0" applyBorder="0" applyAlignment="0">
      <alignment horizontal="center"/>
    </xf>
    <xf numFmtId="0" fontId="42" fillId="0" borderId="0"/>
    <xf numFmtId="0" fontId="66" fillId="0" borderId="0"/>
    <xf numFmtId="0" fontId="23" fillId="0" borderId="0" applyFont="0">
      <alignment horizontal="left"/>
    </xf>
    <xf numFmtId="0" fontId="104" fillId="0" borderId="0"/>
    <xf numFmtId="0" fontId="105" fillId="0" borderId="0">
      <alignment horizontal="center"/>
    </xf>
    <xf numFmtId="40" fontId="106" fillId="0" borderId="0" applyBorder="0">
      <alignment horizontal="right"/>
    </xf>
    <xf numFmtId="39" fontId="24" fillId="56" borderId="0"/>
    <xf numFmtId="197" fontId="24" fillId="56" borderId="0"/>
    <xf numFmtId="0" fontId="107" fillId="0" borderId="0" applyFont="0" applyFill="0" applyBorder="0" applyAlignment="0"/>
    <xf numFmtId="0" fontId="107" fillId="0" borderId="0" applyFont="0" applyFill="0" applyBorder="0" applyAlignment="0"/>
    <xf numFmtId="0" fontId="58" fillId="0" borderId="0" applyNumberFormat="0" applyFont="0" applyFill="0" applyBorder="0" applyAlignment="0"/>
    <xf numFmtId="0" fontId="9" fillId="71" borderId="0"/>
    <xf numFmtId="49" fontId="19" fillId="0" borderId="0" applyFill="0" applyBorder="0" applyAlignment="0"/>
    <xf numFmtId="0" fontId="9" fillId="0" borderId="0" applyFill="0" applyBorder="0" applyAlignment="0"/>
    <xf numFmtId="217" fontId="9" fillId="0" borderId="0" applyFill="0" applyBorder="0" applyAlignment="0"/>
    <xf numFmtId="197" fontId="9" fillId="71" borderId="0"/>
    <xf numFmtId="0" fontId="9" fillId="71" borderId="0"/>
    <xf numFmtId="0" fontId="9" fillId="71" borderId="0"/>
    <xf numFmtId="197" fontId="9" fillId="71" borderId="0"/>
    <xf numFmtId="0" fontId="108" fillId="0" borderId="0" applyNumberFormat="0" applyFill="0" applyBorder="0" applyAlignment="0" applyProtection="0"/>
    <xf numFmtId="0" fontId="108" fillId="0" borderId="0" applyNumberFormat="0" applyFill="0" applyBorder="0" applyAlignment="0" applyProtection="0"/>
    <xf numFmtId="0" fontId="18" fillId="0" borderId="45" applyNumberFormat="0" applyFill="0" applyAlignment="0" applyProtection="0"/>
    <xf numFmtId="0" fontId="18" fillId="0" borderId="45" applyNumberFormat="0" applyFill="0" applyAlignment="0" applyProtection="0"/>
    <xf numFmtId="0" fontId="18" fillId="0" borderId="45" applyNumberFormat="0" applyFill="0" applyAlignment="0" applyProtection="0"/>
    <xf numFmtId="0" fontId="109" fillId="0" borderId="45" applyNumberFormat="0" applyFill="0" applyAlignment="0" applyProtection="0"/>
    <xf numFmtId="0" fontId="18" fillId="0" borderId="45" applyNumberFormat="0" applyFill="0" applyAlignment="0" applyProtection="0"/>
    <xf numFmtId="0" fontId="18" fillId="0" borderId="45" applyNumberFormat="0" applyFill="0" applyAlignment="0" applyProtection="0"/>
    <xf numFmtId="0" fontId="18" fillId="0" borderId="45" applyNumberFormat="0" applyFill="0" applyAlignment="0" applyProtection="0"/>
    <xf numFmtId="0" fontId="18" fillId="0" borderId="45" applyNumberFormat="0" applyFill="0" applyAlignment="0" applyProtection="0"/>
    <xf numFmtId="0" fontId="18" fillId="0" borderId="45" applyNumberFormat="0" applyFill="0" applyAlignment="0" applyProtection="0"/>
    <xf numFmtId="0" fontId="18" fillId="0" borderId="45" applyNumberFormat="0" applyFill="0" applyAlignment="0" applyProtection="0"/>
    <xf numFmtId="0" fontId="18" fillId="0" borderId="45" applyNumberFormat="0" applyFill="0" applyAlignment="0" applyProtection="0"/>
    <xf numFmtId="37" fontId="23" fillId="56" borderId="0"/>
    <xf numFmtId="197" fontId="23" fillId="56" borderId="0"/>
    <xf numFmtId="37" fontId="23" fillId="60" borderId="0">
      <protection locked="0"/>
    </xf>
    <xf numFmtId="37" fontId="23" fillId="56" borderId="0"/>
    <xf numFmtId="197" fontId="23" fillId="60" borderId="0">
      <protection locked="0"/>
    </xf>
    <xf numFmtId="197" fontId="23" fillId="56" borderId="0"/>
    <xf numFmtId="37" fontId="23" fillId="60" borderId="0">
      <protection locked="0"/>
    </xf>
    <xf numFmtId="37" fontId="23" fillId="56" borderId="0"/>
    <xf numFmtId="197" fontId="23" fillId="56" borderId="0"/>
    <xf numFmtId="197" fontId="23" fillId="60" borderId="0">
      <protection locked="0"/>
    </xf>
    <xf numFmtId="0" fontId="110" fillId="62" borderId="46"/>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49" fontId="113" fillId="0" borderId="0" applyFill="0" applyBorder="0" applyAlignment="0" applyProtection="0"/>
    <xf numFmtId="37" fontId="114" fillId="24" borderId="30">
      <alignment horizontal="centerContinuous"/>
    </xf>
    <xf numFmtId="0" fontId="9" fillId="0" borderId="0"/>
    <xf numFmtId="0" fontId="115" fillId="65" borderId="0" applyNumberFormat="0" applyBorder="0" applyAlignment="0" applyProtection="0">
      <alignment vertical="center"/>
    </xf>
    <xf numFmtId="0" fontId="9" fillId="60" borderId="41" applyNumberFormat="0" applyFont="0" applyAlignment="0" applyProtection="0">
      <alignment vertical="center"/>
    </xf>
    <xf numFmtId="43" fontId="9" fillId="0" borderId="0" applyFont="0" applyFill="0" applyBorder="0" applyAlignment="0" applyProtection="0"/>
    <xf numFmtId="0" fontId="116" fillId="0" borderId="45" applyNumberFormat="0" applyFill="0" applyAlignment="0" applyProtection="0">
      <alignment vertical="center"/>
    </xf>
    <xf numFmtId="0" fontId="117" fillId="23" borderId="0" applyNumberFormat="0" applyBorder="0" applyAlignment="0" applyProtection="0">
      <alignment vertical="center"/>
    </xf>
    <xf numFmtId="0" fontId="118" fillId="25" borderId="0" applyNumberFormat="0" applyBorder="0" applyAlignment="0" applyProtection="0">
      <alignment vertical="center"/>
    </xf>
    <xf numFmtId="0" fontId="119" fillId="0" borderId="0" applyNumberFormat="0" applyFill="0" applyBorder="0" applyAlignment="0" applyProtection="0">
      <alignment vertical="center"/>
    </xf>
    <xf numFmtId="0" fontId="120" fillId="0" borderId="35" applyNumberFormat="0" applyFill="0" applyAlignment="0" applyProtection="0">
      <alignment vertical="center"/>
    </xf>
    <xf numFmtId="0" fontId="121" fillId="0" borderId="36" applyNumberFormat="0" applyFill="0" applyAlignment="0" applyProtection="0">
      <alignment vertical="center"/>
    </xf>
    <xf numFmtId="0" fontId="122" fillId="0" borderId="37" applyNumberFormat="0" applyFill="0" applyAlignment="0" applyProtection="0">
      <alignment vertical="center"/>
    </xf>
    <xf numFmtId="0" fontId="122" fillId="0" borderId="0" applyNumberFormat="0" applyFill="0" applyBorder="0" applyAlignment="0" applyProtection="0">
      <alignment vertical="center"/>
    </xf>
    <xf numFmtId="0" fontId="123" fillId="59" borderId="32" applyNumberFormat="0" applyAlignment="0" applyProtection="0">
      <alignment vertical="center"/>
    </xf>
    <xf numFmtId="9" fontId="9" fillId="0" borderId="0" applyFont="0" applyFill="0" applyBorder="0" applyAlignment="0" applyProtection="0"/>
    <xf numFmtId="0" fontId="124" fillId="56" borderId="31" applyNumberFormat="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48" fillId="49" borderId="0" applyNumberFormat="0" applyBorder="0" applyAlignment="0" applyProtection="0">
      <alignment vertical="center"/>
    </xf>
    <xf numFmtId="0" fontId="48" fillId="51" borderId="0" applyNumberFormat="0" applyBorder="0" applyAlignment="0" applyProtection="0">
      <alignment vertical="center"/>
    </xf>
    <xf numFmtId="0" fontId="48" fillId="53" borderId="0" applyNumberFormat="0" applyBorder="0" applyAlignment="0" applyProtection="0">
      <alignment vertical="center"/>
    </xf>
    <xf numFmtId="0" fontId="48" fillId="43" borderId="0" applyNumberFormat="0" applyBorder="0" applyAlignment="0" applyProtection="0">
      <alignment vertical="center"/>
    </xf>
    <xf numFmtId="0" fontId="48" fillId="45" borderId="0" applyNumberFormat="0" applyBorder="0" applyAlignment="0" applyProtection="0">
      <alignment vertical="center"/>
    </xf>
    <xf numFmtId="0" fontId="48" fillId="55" borderId="0" applyNumberFormat="0" applyBorder="0" applyAlignment="0" applyProtection="0">
      <alignment vertical="center"/>
    </xf>
    <xf numFmtId="0" fontId="127" fillId="31" borderId="31" applyNumberFormat="0" applyAlignment="0" applyProtection="0">
      <alignment vertical="center"/>
    </xf>
    <xf numFmtId="0" fontId="128" fillId="56" borderId="42" applyNumberFormat="0" applyAlignment="0" applyProtection="0">
      <alignment vertical="center"/>
    </xf>
    <xf numFmtId="0" fontId="129" fillId="0" borderId="40" applyNumberFormat="0" applyFill="0" applyAlignment="0" applyProtection="0">
      <alignment vertical="center"/>
    </xf>
    <xf numFmtId="0" fontId="133" fillId="0" borderId="0"/>
    <xf numFmtId="43" fontId="133" fillId="0" borderId="0" applyFont="0" applyFill="0" applyBorder="0" applyAlignment="0" applyProtection="0"/>
    <xf numFmtId="0" fontId="137" fillId="0" borderId="0"/>
    <xf numFmtId="0" fontId="9" fillId="0" borderId="0"/>
    <xf numFmtId="0" fontId="138" fillId="0" borderId="0" applyNumberFormat="0" applyFill="0" applyBorder="0" applyAlignment="0" applyProtection="0"/>
    <xf numFmtId="0" fontId="140" fillId="0" borderId="0"/>
    <xf numFmtId="43" fontId="140" fillId="0" borderId="0" applyFont="0" applyFill="0" applyBorder="0" applyAlignment="0" applyProtection="0"/>
    <xf numFmtId="0" fontId="140" fillId="0" borderId="0"/>
    <xf numFmtId="9" fontId="9" fillId="0" borderId="0" applyFont="0" applyFill="0" applyBorder="0" applyAlignment="0" applyProtection="0"/>
    <xf numFmtId="43" fontId="140"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42" fillId="0" borderId="0"/>
    <xf numFmtId="44" fontId="142" fillId="0" borderId="0" applyFont="0" applyFill="0" applyBorder="0" applyAlignment="0" applyProtection="0"/>
    <xf numFmtId="9" fontId="142" fillId="0" borderId="0" applyFont="0" applyFill="0" applyBorder="0" applyAlignment="0" applyProtection="0"/>
    <xf numFmtId="43" fontId="142" fillId="0" borderId="0" applyFont="0" applyFill="0" applyBorder="0" applyAlignment="0" applyProtection="0"/>
    <xf numFmtId="0" fontId="145" fillId="0" borderId="0" applyNumberFormat="0" applyFill="0" applyBorder="0" applyAlignment="0" applyProtection="0"/>
  </cellStyleXfs>
  <cellXfs count="566">
    <xf numFmtId="0" fontId="0" fillId="0" borderId="0" xfId="0"/>
    <xf numFmtId="164" fontId="4" fillId="0" borderId="0" xfId="2" applyFont="1" applyBorder="1" applyAlignment="1">
      <alignment horizontal="left"/>
    </xf>
    <xf numFmtId="0" fontId="0" fillId="2" borderId="0" xfId="0" applyFill="1"/>
    <xf numFmtId="0" fontId="0" fillId="0" borderId="0" xfId="0" applyAlignment="1">
      <alignment horizontal="center"/>
    </xf>
    <xf numFmtId="165" fontId="0" fillId="0" borderId="0" xfId="1" applyNumberFormat="1" applyFont="1" applyAlignment="1">
      <alignment horizontal="center"/>
    </xf>
    <xf numFmtId="0" fontId="0" fillId="0" borderId="0" xfId="0" applyAlignment="1">
      <alignment horizontal="left"/>
    </xf>
    <xf numFmtId="0" fontId="0" fillId="0" borderId="0" xfId="0" applyFill="1"/>
    <xf numFmtId="0" fontId="5" fillId="0" borderId="0" xfId="0" applyFont="1"/>
    <xf numFmtId="164" fontId="7" fillId="0" borderId="0" xfId="2" applyFont="1" applyBorder="1"/>
    <xf numFmtId="165" fontId="0" fillId="0" borderId="0" xfId="1" applyNumberFormat="1" applyFont="1" applyFill="1" applyAlignment="1">
      <alignment horizontal="center"/>
    </xf>
    <xf numFmtId="0" fontId="0" fillId="0" borderId="1" xfId="0" applyBorder="1"/>
    <xf numFmtId="0" fontId="0" fillId="2" borderId="1" xfId="0" applyFill="1" applyBorder="1"/>
    <xf numFmtId="0" fontId="0" fillId="0" borderId="0" xfId="0" applyFill="1" applyAlignment="1">
      <alignment horizontal="center"/>
    </xf>
    <xf numFmtId="166" fontId="0" fillId="0" borderId="0" xfId="4" applyNumberFormat="1" applyFont="1"/>
    <xf numFmtId="166" fontId="0" fillId="0" borderId="1" xfId="4" applyNumberFormat="1" applyFont="1" applyBorder="1"/>
    <xf numFmtId="166" fontId="4" fillId="0" borderId="0" xfId="4" applyNumberFormat="1" applyFont="1" applyBorder="1" applyAlignment="1">
      <alignment horizontal="left"/>
    </xf>
    <xf numFmtId="166" fontId="0" fillId="0" borderId="0" xfId="4" applyNumberFormat="1" applyFont="1" applyFill="1" applyAlignment="1"/>
    <xf numFmtId="166" fontId="0" fillId="0" borderId="0" xfId="4" applyNumberFormat="1" applyFont="1" applyFill="1"/>
    <xf numFmtId="44" fontId="10" fillId="0" borderId="2" xfId="5" applyFont="1" applyFill="1" applyBorder="1" applyAlignment="1" applyProtection="1">
      <alignment horizontal="centerContinuous" wrapText="1"/>
    </xf>
    <xf numFmtId="164" fontId="9" fillId="0" borderId="0" xfId="2" applyFont="1" applyAlignment="1">
      <alignment horizontal="centerContinuous"/>
    </xf>
    <xf numFmtId="164" fontId="9" fillId="0" borderId="0" xfId="2" applyFont="1"/>
    <xf numFmtId="164" fontId="11" fillId="0" borderId="2" xfId="2" applyFont="1" applyBorder="1" applyAlignment="1">
      <alignment horizontal="left"/>
    </xf>
    <xf numFmtId="164" fontId="8" fillId="0" borderId="2" xfId="2" applyFont="1" applyBorder="1" applyAlignment="1">
      <alignment horizontal="center"/>
    </xf>
    <xf numFmtId="164" fontId="8" fillId="0" borderId="3" xfId="2" applyFont="1" applyBorder="1" applyAlignment="1">
      <alignment horizontal="center"/>
    </xf>
    <xf numFmtId="164" fontId="11" fillId="0" borderId="4" xfId="2" applyFont="1" applyBorder="1" applyAlignment="1">
      <alignment horizontal="center"/>
    </xf>
    <xf numFmtId="164" fontId="12" fillId="0" borderId="4" xfId="2" applyFont="1" applyBorder="1" applyAlignment="1">
      <alignment horizontal="centerContinuous"/>
    </xf>
    <xf numFmtId="164" fontId="11" fillId="0" borderId="4" xfId="2" applyFont="1" applyBorder="1" applyAlignment="1">
      <alignment horizontal="centerContinuous"/>
    </xf>
    <xf numFmtId="164" fontId="8" fillId="0" borderId="0" xfId="2" applyFont="1" applyAlignment="1">
      <alignment horizontal="centerContinuous"/>
    </xf>
    <xf numFmtId="164" fontId="11" fillId="0" borderId="0" xfId="2" applyFont="1" applyAlignment="1">
      <alignment horizontal="centerContinuous"/>
    </xf>
    <xf numFmtId="164" fontId="12" fillId="0" borderId="0" xfId="2" applyFont="1" applyAlignment="1">
      <alignment horizontal="left"/>
    </xf>
    <xf numFmtId="168" fontId="8" fillId="0" borderId="0" xfId="6" applyNumberFormat="1" applyFont="1" applyAlignment="1">
      <alignment horizontal="right"/>
    </xf>
    <xf numFmtId="169" fontId="8" fillId="0" borderId="0" xfId="7" applyNumberFormat="1" applyFont="1" applyAlignment="1" applyProtection="1">
      <alignment horizontal="right"/>
    </xf>
    <xf numFmtId="164" fontId="11" fillId="0" borderId="0" xfId="2" applyFont="1" applyAlignment="1">
      <alignment horizontal="left"/>
    </xf>
    <xf numFmtId="164" fontId="8" fillId="0" borderId="0" xfId="2" applyFont="1"/>
    <xf numFmtId="164" fontId="8" fillId="0" borderId="0" xfId="2" applyFont="1" applyAlignment="1">
      <alignment wrapText="1"/>
    </xf>
    <xf numFmtId="164" fontId="15" fillId="0" borderId="0" xfId="2" applyFont="1"/>
    <xf numFmtId="164" fontId="12" fillId="0" borderId="0" xfId="2" applyFont="1" applyAlignment="1">
      <alignment horizontal="centerContinuous"/>
    </xf>
    <xf numFmtId="170" fontId="8" fillId="0" borderId="0" xfId="2" applyNumberFormat="1" applyFont="1" applyAlignment="1">
      <alignment horizontal="centerContinuous"/>
    </xf>
    <xf numFmtId="171" fontId="16" fillId="0" borderId="0" xfId="8" applyNumberFormat="1" applyFont="1" applyFill="1" applyAlignment="1" applyProtection="1">
      <alignment horizontal="right"/>
    </xf>
    <xf numFmtId="171" fontId="8" fillId="0" borderId="0" xfId="8" applyNumberFormat="1" applyFont="1" applyAlignment="1" applyProtection="1">
      <alignment horizontal="right"/>
    </xf>
    <xf numFmtId="172" fontId="8" fillId="0" borderId="0" xfId="2" applyNumberFormat="1" applyFont="1"/>
    <xf numFmtId="173" fontId="8" fillId="0" borderId="0" xfId="6" applyNumberFormat="1" applyFont="1" applyAlignment="1">
      <alignment horizontal="right"/>
    </xf>
    <xf numFmtId="172" fontId="8" fillId="0" borderId="2" xfId="2" applyNumberFormat="1" applyFont="1" applyBorder="1"/>
    <xf numFmtId="173" fontId="8" fillId="0" borderId="2" xfId="6" applyNumberFormat="1" applyFont="1" applyBorder="1" applyAlignment="1">
      <alignment horizontal="right"/>
    </xf>
    <xf numFmtId="44" fontId="10" fillId="0" borderId="0" xfId="5" applyFont="1" applyFill="1" applyBorder="1" applyAlignment="1" applyProtection="1">
      <alignment horizontal="centerContinuous" wrapText="1"/>
    </xf>
    <xf numFmtId="164" fontId="11" fillId="0" borderId="3" xfId="2" applyFont="1" applyBorder="1" applyAlignment="1">
      <alignment horizontal="left"/>
    </xf>
    <xf numFmtId="169" fontId="15" fillId="0" borderId="0" xfId="7" applyNumberFormat="1" applyFont="1" applyAlignment="1" applyProtection="1">
      <alignment horizontal="centerContinuous"/>
    </xf>
    <xf numFmtId="169" fontId="8" fillId="0" borderId="0" xfId="7" applyNumberFormat="1" applyFont="1" applyAlignment="1" applyProtection="1">
      <alignment horizontal="centerContinuous"/>
    </xf>
    <xf numFmtId="169" fontId="8" fillId="0" borderId="0" xfId="2" applyNumberFormat="1" applyFont="1" applyAlignment="1">
      <alignment horizontal="centerContinuous"/>
    </xf>
    <xf numFmtId="169" fontId="8" fillId="0" borderId="0" xfId="7" applyNumberFormat="1" applyFont="1" applyBorder="1" applyAlignment="1" applyProtection="1">
      <alignment horizontal="centerContinuous"/>
    </xf>
    <xf numFmtId="169" fontId="8" fillId="0" borderId="0" xfId="7" applyNumberFormat="1" applyFont="1" applyBorder="1" applyAlignment="1" applyProtection="1">
      <alignment horizontal="right"/>
    </xf>
    <xf numFmtId="174" fontId="8" fillId="0" borderId="0" xfId="6" applyNumberFormat="1" applyFont="1" applyAlignment="1">
      <alignment horizontal="right"/>
    </xf>
    <xf numFmtId="175" fontId="8" fillId="0" borderId="0" xfId="7" applyNumberFormat="1" applyFont="1" applyAlignment="1" applyProtection="1">
      <alignment horizontal="right"/>
    </xf>
    <xf numFmtId="175" fontId="8" fillId="0" borderId="2" xfId="7" applyNumberFormat="1" applyFont="1" applyBorder="1" applyAlignment="1" applyProtection="1">
      <alignment horizontal="right"/>
    </xf>
    <xf numFmtId="164" fontId="17" fillId="0" borderId="0" xfId="2" applyFont="1"/>
    <xf numFmtId="171" fontId="0" fillId="0" borderId="0" xfId="3" applyNumberFormat="1" applyFont="1"/>
    <xf numFmtId="10" fontId="0" fillId="0" borderId="0" xfId="3" applyNumberFormat="1" applyFont="1"/>
    <xf numFmtId="164" fontId="12" fillId="0" borderId="2" xfId="9" applyNumberFormat="1" applyFont="1" applyBorder="1" applyAlignment="1">
      <alignment horizontal="centerContinuous" wrapText="1"/>
    </xf>
    <xf numFmtId="164" fontId="12" fillId="0" borderId="0" xfId="9" applyNumberFormat="1" applyFont="1" applyBorder="1" applyAlignment="1">
      <alignment horizontal="centerContinuous" wrapText="1"/>
    </xf>
    <xf numFmtId="176" fontId="8" fillId="0" borderId="0" xfId="10" applyNumberFormat="1" applyAlignment="1">
      <alignment horizontal="centerContinuous"/>
    </xf>
    <xf numFmtId="164" fontId="8" fillId="0" borderId="0" xfId="10"/>
    <xf numFmtId="164" fontId="11" fillId="0" borderId="0" xfId="9" applyNumberFormat="1" applyFont="1" applyBorder="1">
      <alignment horizontal="center"/>
    </xf>
    <xf numFmtId="164" fontId="8" fillId="0" borderId="3" xfId="10" applyBorder="1"/>
    <xf numFmtId="164" fontId="11" fillId="0" borderId="2" xfId="10" applyFont="1" applyBorder="1" applyAlignment="1">
      <alignment horizontal="left"/>
    </xf>
    <xf numFmtId="0" fontId="8" fillId="0" borderId="2" xfId="10" quotePrefix="1" applyNumberFormat="1" applyBorder="1"/>
    <xf numFmtId="177" fontId="8" fillId="0" borderId="0" xfId="10" applyNumberFormat="1" applyAlignment="1">
      <alignment horizontal="right"/>
    </xf>
    <xf numFmtId="164" fontId="11" fillId="0" borderId="0" xfId="11" applyFont="1">
      <alignment horizontal="left" indent="1"/>
    </xf>
    <xf numFmtId="176" fontId="8" fillId="0" borderId="0" xfId="10" applyNumberFormat="1" applyAlignment="1">
      <alignment horizontal="right"/>
    </xf>
    <xf numFmtId="164" fontId="11" fillId="0" borderId="0" xfId="12" applyFont="1">
      <alignment horizontal="left" indent="2"/>
    </xf>
    <xf numFmtId="164" fontId="11" fillId="0" borderId="0" xfId="13" applyFont="1">
      <alignment horizontal="left" indent="3"/>
    </xf>
    <xf numFmtId="43" fontId="8" fillId="0" borderId="0" xfId="14" applyFont="1" applyFill="1" applyBorder="1"/>
    <xf numFmtId="164" fontId="11" fillId="0" borderId="0" xfId="15" applyFont="1">
      <alignment horizontal="left" indent="4"/>
    </xf>
    <xf numFmtId="164" fontId="11" fillId="0" borderId="0" xfId="15" applyFont="1" applyAlignment="1">
      <alignment horizontal="left" indent="3"/>
    </xf>
    <xf numFmtId="164" fontId="11" fillId="0" borderId="0" xfId="15" applyFont="1" applyAlignment="1">
      <alignment horizontal="left" wrapText="1" indent="3"/>
    </xf>
    <xf numFmtId="164" fontId="11" fillId="0" borderId="0" xfId="16" applyFont="1">
      <alignment horizontal="left" indent="5"/>
    </xf>
    <xf numFmtId="164" fontId="11" fillId="0" borderId="0" xfId="12" applyFont="1" applyAlignment="1">
      <alignment horizontal="left" wrapText="1" indent="2"/>
    </xf>
    <xf numFmtId="171" fontId="8" fillId="0" borderId="0" xfId="17" applyNumberFormat="1" applyFont="1" applyFill="1" applyBorder="1"/>
    <xf numFmtId="164" fontId="8" fillId="0" borderId="0" xfId="10" applyAlignment="1">
      <alignment wrapText="1"/>
    </xf>
    <xf numFmtId="172" fontId="8" fillId="0" borderId="0" xfId="18" applyNumberFormat="1" applyFont="1" applyBorder="1" applyAlignment="1">
      <alignment horizontal="right"/>
    </xf>
    <xf numFmtId="171" fontId="8" fillId="0" borderId="0" xfId="18" applyNumberFormat="1" applyFont="1" applyBorder="1" applyAlignment="1">
      <alignment horizontal="right"/>
    </xf>
    <xf numFmtId="178" fontId="8" fillId="0" borderId="0" xfId="14" applyNumberFormat="1" applyFont="1" applyFill="1" applyBorder="1"/>
    <xf numFmtId="173" fontId="8" fillId="0" borderId="0" xfId="18" applyNumberFormat="1" applyFont="1" applyBorder="1" applyAlignment="1">
      <alignment horizontal="right"/>
    </xf>
    <xf numFmtId="173" fontId="0" fillId="0" borderId="0" xfId="18" applyNumberFormat="1" applyFont="1" applyBorder="1" applyAlignment="1">
      <alignment horizontal="right"/>
    </xf>
    <xf numFmtId="164" fontId="11" fillId="0" borderId="0" xfId="15" applyFont="1" applyAlignment="1">
      <alignment horizontal="left" wrapText="1" indent="4"/>
    </xf>
    <xf numFmtId="164" fontId="11" fillId="0" borderId="2" xfId="12" applyFont="1" applyBorder="1">
      <alignment horizontal="left" indent="2"/>
    </xf>
    <xf numFmtId="172" fontId="8" fillId="0" borderId="2" xfId="18" applyNumberFormat="1" applyFont="1" applyBorder="1" applyAlignment="1">
      <alignment horizontal="right"/>
    </xf>
    <xf numFmtId="173" fontId="8" fillId="0" borderId="2" xfId="18" applyNumberFormat="1" applyFont="1" applyBorder="1" applyAlignment="1">
      <alignment horizontal="right"/>
    </xf>
    <xf numFmtId="2" fontId="8" fillId="0" borderId="0" xfId="10" applyNumberFormat="1"/>
    <xf numFmtId="166" fontId="0" fillId="0" borderId="0" xfId="0" applyNumberFormat="1"/>
    <xf numFmtId="0" fontId="22" fillId="0" borderId="5" xfId="0" applyFont="1" applyBorder="1" applyAlignment="1">
      <alignment horizontal="centerContinuous" wrapText="1"/>
    </xf>
    <xf numFmtId="0" fontId="0" fillId="0" borderId="5" xfId="0" applyBorder="1" applyAlignment="1">
      <alignment horizontal="centerContinuous" wrapText="1"/>
    </xf>
    <xf numFmtId="0" fontId="9" fillId="0" borderId="0" xfId="0" applyFont="1"/>
    <xf numFmtId="0" fontId="8" fillId="0" borderId="0" xfId="0" applyFont="1"/>
    <xf numFmtId="0" fontId="23" fillId="0" borderId="0" xfId="0" applyFont="1"/>
    <xf numFmtId="0" fontId="24" fillId="0" borderId="6" xfId="0" applyFont="1" applyBorder="1" applyAlignment="1">
      <alignment horizontal="centerContinuous"/>
    </xf>
    <xf numFmtId="164" fontId="24" fillId="0" borderId="6" xfId="0" applyNumberFormat="1" applyFont="1" applyBorder="1" applyAlignment="1">
      <alignment horizontal="centerContinuous"/>
    </xf>
    <xf numFmtId="164" fontId="23" fillId="0" borderId="6" xfId="0" applyNumberFormat="1" applyFont="1" applyBorder="1" applyAlignment="1">
      <alignment horizontal="centerContinuous"/>
    </xf>
    <xf numFmtId="0" fontId="23" fillId="0" borderId="6" xfId="0" applyFont="1" applyBorder="1" applyAlignment="1">
      <alignment horizontal="centerContinuous"/>
    </xf>
    <xf numFmtId="0" fontId="23" fillId="0" borderId="0" xfId="0" applyFont="1" applyAlignment="1">
      <alignment horizontal="center"/>
    </xf>
    <xf numFmtId="164"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17" fillId="0" borderId="0" xfId="0" applyFont="1"/>
    <xf numFmtId="0" fontId="26" fillId="0" borderId="0" xfId="0" applyFont="1"/>
    <xf numFmtId="0" fontId="27" fillId="0" borderId="0" xfId="0" applyFont="1" applyAlignment="1">
      <alignment horizontal="left"/>
    </xf>
    <xf numFmtId="164" fontId="28" fillId="0" borderId="0" xfId="0" applyNumberFormat="1" applyFont="1" applyAlignment="1">
      <alignment horizontal="centerContinuous"/>
    </xf>
    <xf numFmtId="176" fontId="8" fillId="0" borderId="0" xfId="0" applyNumberFormat="1" applyFont="1" applyAlignment="1">
      <alignment horizontal="centerContinuous"/>
    </xf>
    <xf numFmtId="0" fontId="17" fillId="0" borderId="0" xfId="0" applyFont="1" applyAlignment="1">
      <alignment horizontal="centerContinuous"/>
    </xf>
    <xf numFmtId="179" fontId="17" fillId="0" borderId="0" xfId="0" applyNumberFormat="1" applyFont="1"/>
    <xf numFmtId="177" fontId="8" fillId="0" borderId="0" xfId="0" applyNumberFormat="1" applyFont="1" applyAlignment="1">
      <alignment horizontal="right"/>
    </xf>
    <xf numFmtId="180" fontId="17" fillId="0" borderId="0" xfId="1" applyNumberFormat="1" applyFont="1" applyFill="1" applyAlignment="1"/>
    <xf numFmtId="178" fontId="17" fillId="0" borderId="0" xfId="1" applyNumberFormat="1" applyFont="1" applyFill="1" applyAlignment="1"/>
    <xf numFmtId="0" fontId="24" fillId="0" borderId="0" xfId="0" applyFont="1" applyAlignment="1">
      <alignment horizontal="left"/>
    </xf>
    <xf numFmtId="167" fontId="8" fillId="0" borderId="0" xfId="1" applyNumberFormat="1" applyFont="1" applyFill="1" applyAlignment="1" applyProtection="1">
      <alignment horizontal="right"/>
    </xf>
    <xf numFmtId="0" fontId="8" fillId="0" borderId="0" xfId="0" applyFont="1" applyAlignment="1">
      <alignment horizontal="left"/>
    </xf>
    <xf numFmtId="176" fontId="8" fillId="0" borderId="0" xfId="1" applyNumberFormat="1" applyFont="1" applyFill="1" applyAlignment="1" applyProtection="1">
      <alignment horizontal="right"/>
    </xf>
    <xf numFmtId="0" fontId="8" fillId="0" borderId="5" xfId="0" applyFont="1" applyBorder="1" applyAlignment="1">
      <alignment horizontal="left"/>
    </xf>
    <xf numFmtId="167" fontId="8" fillId="0" borderId="5" xfId="1" applyNumberFormat="1" applyFont="1" applyFill="1" applyBorder="1" applyAlignment="1" applyProtection="1">
      <alignment horizontal="right"/>
    </xf>
    <xf numFmtId="0" fontId="24" fillId="0" borderId="5" xfId="0" applyFont="1" applyBorder="1" applyAlignment="1">
      <alignment horizontal="centerContinuous"/>
    </xf>
    <xf numFmtId="164" fontId="24" fillId="0" borderId="5" xfId="0" applyNumberFormat="1" applyFont="1" applyBorder="1" applyAlignment="1">
      <alignment horizontal="centerContinuous"/>
    </xf>
    <xf numFmtId="164" fontId="23" fillId="0" borderId="5" xfId="0" applyNumberFormat="1" applyFont="1" applyBorder="1" applyAlignment="1">
      <alignment horizontal="centerContinuous"/>
    </xf>
    <xf numFmtId="0" fontId="23" fillId="0" borderId="5" xfId="0" applyFont="1" applyBorder="1" applyAlignment="1">
      <alignment horizontal="centerContinuous"/>
    </xf>
    <xf numFmtId="167" fontId="8" fillId="0" borderId="0"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0" fontId="24" fillId="0" borderId="0" xfId="0" applyFont="1"/>
    <xf numFmtId="0" fontId="24" fillId="0" borderId="0" xfId="0" applyFont="1" applyAlignment="1">
      <alignment horizontal="center"/>
    </xf>
    <xf numFmtId="164" fontId="11" fillId="0" borderId="0" xfId="0" applyNumberFormat="1" applyFont="1" applyAlignment="1">
      <alignment horizontal="left"/>
    </xf>
    <xf numFmtId="167" fontId="8" fillId="0" borderId="0" xfId="1" applyNumberFormat="1" applyFont="1" applyFill="1" applyBorder="1" applyAlignment="1" applyProtection="1"/>
    <xf numFmtId="164" fontId="8" fillId="0" borderId="0" xfId="0" applyNumberFormat="1" applyFont="1" applyAlignment="1">
      <alignment horizontal="left"/>
    </xf>
    <xf numFmtId="0" fontId="27" fillId="0" borderId="2" xfId="0" applyFont="1" applyBorder="1" applyAlignment="1">
      <alignment horizontal="centerContinuous" wrapText="1"/>
    </xf>
    <xf numFmtId="0" fontId="0" fillId="0" borderId="0" xfId="0" applyAlignment="1">
      <alignment horizontal="centerContinuous"/>
    </xf>
    <xf numFmtId="164" fontId="30" fillId="0" borderId="3" xfId="0" applyNumberFormat="1" applyFont="1" applyBorder="1" applyAlignment="1">
      <alignment horizontal="left"/>
    </xf>
    <xf numFmtId="0" fontId="8" fillId="0" borderId="3" xfId="0" applyFont="1" applyBorder="1" applyAlignment="1">
      <alignment horizontal="center"/>
    </xf>
    <xf numFmtId="179" fontId="8" fillId="0" borderId="3" xfId="0" applyNumberFormat="1" applyFont="1" applyBorder="1" applyAlignment="1">
      <alignment horizontal="center"/>
    </xf>
    <xf numFmtId="164" fontId="15" fillId="0" borderId="4" xfId="0" applyNumberFormat="1" applyFont="1" applyBorder="1" applyAlignment="1">
      <alignment horizontal="centerContinuous"/>
    </xf>
    <xf numFmtId="179" fontId="11" fillId="0" borderId="0" xfId="0" applyNumberFormat="1" applyFont="1" applyAlignment="1">
      <alignment horizontal="centerContinuous"/>
    </xf>
    <xf numFmtId="0" fontId="8" fillId="0" borderId="0" xfId="0" applyFont="1" applyAlignment="1">
      <alignment horizontal="centerContinuous"/>
    </xf>
    <xf numFmtId="179" fontId="10" fillId="0" borderId="0" xfId="0" applyNumberFormat="1" applyFont="1" applyAlignment="1">
      <alignment horizontal="left"/>
    </xf>
    <xf numFmtId="179" fontId="31" fillId="0" borderId="0" xfId="0" applyNumberFormat="1" applyFont="1" applyAlignment="1">
      <alignment horizontal="left"/>
    </xf>
    <xf numFmtId="178" fontId="8" fillId="0" borderId="0" xfId="1" applyNumberFormat="1" applyFont="1" applyFill="1" applyBorder="1" applyAlignment="1">
      <alignment horizontal="right"/>
    </xf>
    <xf numFmtId="176" fontId="8" fillId="0" borderId="0" xfId="0" applyNumberFormat="1" applyFont="1" applyAlignment="1">
      <alignment horizontal="right"/>
    </xf>
    <xf numFmtId="179" fontId="11" fillId="0" borderId="0" xfId="0" applyNumberFormat="1" applyFont="1" applyAlignment="1">
      <alignment horizontal="left"/>
    </xf>
    <xf numFmtId="0" fontId="28" fillId="0" borderId="0" xfId="0" applyFont="1" applyAlignment="1">
      <alignment horizontal="centerContinuous" vertical="center"/>
    </xf>
    <xf numFmtId="171" fontId="16" fillId="0" borderId="0" xfId="3" applyNumberFormat="1" applyFont="1" applyFill="1" applyAlignment="1">
      <alignment horizontal="right"/>
    </xf>
    <xf numFmtId="171" fontId="16" fillId="0" borderId="0" xfId="3" applyNumberFormat="1" applyFont="1" applyFill="1" applyAlignment="1" applyProtection="1">
      <alignment horizontal="right"/>
    </xf>
    <xf numFmtId="181" fontId="8" fillId="0" borderId="0" xfId="7" applyNumberFormat="1" applyFont="1" applyFill="1" applyBorder="1" applyAlignment="1">
      <alignment horizontal="right"/>
    </xf>
    <xf numFmtId="0" fontId="24" fillId="0" borderId="2" xfId="0" applyFont="1" applyBorder="1"/>
    <xf numFmtId="0" fontId="8" fillId="0" borderId="2" xfId="0" applyFont="1" applyBorder="1"/>
    <xf numFmtId="181" fontId="8" fillId="0" borderId="2" xfId="7" applyNumberFormat="1" applyFont="1" applyFill="1" applyBorder="1" applyAlignment="1">
      <alignment horizontal="right"/>
    </xf>
    <xf numFmtId="182" fontId="8" fillId="0" borderId="2" xfId="7" applyNumberFormat="1" applyFont="1" applyFill="1" applyBorder="1" applyAlignment="1">
      <alignment horizontal="right"/>
    </xf>
    <xf numFmtId="179" fontId="11" fillId="0" borderId="0" xfId="0" applyNumberFormat="1" applyFont="1"/>
    <xf numFmtId="0" fontId="0" fillId="0" borderId="2" xfId="0" applyBorder="1"/>
    <xf numFmtId="0" fontId="0" fillId="0" borderId="2"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1" xfId="0" applyFill="1" applyBorder="1"/>
    <xf numFmtId="171" fontId="0" fillId="0" borderId="0" xfId="3" applyNumberFormat="1" applyFont="1" applyFill="1" applyBorder="1" applyAlignment="1">
      <alignment horizontal="right"/>
    </xf>
    <xf numFmtId="0" fontId="0" fillId="4" borderId="0" xfId="0" applyFill="1" applyAlignment="1">
      <alignment horizontal="center" wrapText="1"/>
    </xf>
    <xf numFmtId="0" fontId="0" fillId="4" borderId="0" xfId="0" applyFill="1" applyBorder="1" applyAlignment="1">
      <alignment horizontal="center"/>
    </xf>
    <xf numFmtId="0" fontId="0" fillId="4" borderId="0" xfId="0" applyFill="1" applyBorder="1"/>
    <xf numFmtId="0" fontId="0" fillId="4" borderId="0" xfId="0" applyFill="1" applyBorder="1" applyAlignment="1">
      <alignment horizontal="right"/>
    </xf>
    <xf numFmtId="183" fontId="0" fillId="3" borderId="2" xfId="1" applyNumberFormat="1" applyFont="1" applyFill="1" applyBorder="1" applyAlignment="1">
      <alignment horizontal="center"/>
    </xf>
    <xf numFmtId="165" fontId="0" fillId="0" borderId="7" xfId="1" applyNumberFormat="1" applyFont="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183" fontId="0" fillId="3" borderId="11" xfId="1" applyNumberFormat="1" applyFont="1" applyFill="1" applyBorder="1" applyAlignment="1">
      <alignment horizontal="center"/>
    </xf>
    <xf numFmtId="183" fontId="0" fillId="3" borderId="13" xfId="1" applyNumberFormat="1" applyFont="1" applyFill="1" applyBorder="1" applyAlignment="1">
      <alignment horizontal="center"/>
    </xf>
    <xf numFmtId="10" fontId="0" fillId="0" borderId="0" xfId="0" applyNumberFormat="1"/>
    <xf numFmtId="10" fontId="0" fillId="2" borderId="0" xfId="0" applyNumberFormat="1" applyFill="1"/>
    <xf numFmtId="166" fontId="0" fillId="0" borderId="0" xfId="4" applyNumberFormat="1" applyFont="1" applyAlignment="1">
      <alignment horizontal="center"/>
    </xf>
    <xf numFmtId="164" fontId="33" fillId="0" borderId="2" xfId="19" applyFont="1" applyBorder="1" applyAlignment="1">
      <alignment horizontal="centerContinuous" wrapText="1"/>
    </xf>
    <xf numFmtId="164" fontId="17" fillId="0" borderId="0" xfId="20" applyFont="1">
      <alignment horizontal="center"/>
    </xf>
    <xf numFmtId="164" fontId="34" fillId="0" borderId="0" xfId="19" applyFont="1" applyBorder="1" applyAlignment="1">
      <alignment horizontal="left"/>
    </xf>
    <xf numFmtId="164" fontId="34" fillId="0" borderId="0" xfId="19" applyFont="1" applyBorder="1" applyAlignment="1">
      <alignment horizontal="center"/>
    </xf>
    <xf numFmtId="164" fontId="34" fillId="0" borderId="0" xfId="19" applyFont="1" applyBorder="1" applyAlignment="1">
      <alignment horizontal="center" wrapText="1"/>
    </xf>
    <xf numFmtId="164" fontId="34" fillId="0" borderId="2" xfId="19" applyFont="1" applyBorder="1" applyAlignment="1">
      <alignment horizontal="centerContinuous"/>
    </xf>
    <xf numFmtId="164" fontId="34" fillId="0" borderId="0" xfId="19" applyFont="1" applyBorder="1" applyAlignment="1"/>
    <xf numFmtId="164" fontId="34" fillId="0" borderId="2" xfId="19" applyFont="1" applyBorder="1" applyAlignment="1">
      <alignment horizontal="center"/>
    </xf>
    <xf numFmtId="164" fontId="34" fillId="0" borderId="2" xfId="19" applyFont="1" applyBorder="1" applyAlignment="1">
      <alignment horizontal="center" wrapText="1"/>
    </xf>
    <xf numFmtId="164" fontId="34" fillId="0" borderId="3" xfId="20" applyFont="1" applyBorder="1" applyAlignment="1">
      <alignment horizontal="center" wrapText="1"/>
    </xf>
    <xf numFmtId="164" fontId="17" fillId="0" borderId="0" xfId="20" applyFont="1" applyAlignment="1">
      <alignment horizontal="right" vertical="top" wrapText="1"/>
    </xf>
    <xf numFmtId="184" fontId="8" fillId="0" borderId="0" xfId="19" applyNumberFormat="1" applyFont="1" applyBorder="1" applyAlignment="1">
      <alignment horizontal="centerContinuous" wrapText="1"/>
    </xf>
    <xf numFmtId="1" fontId="17" fillId="0" borderId="0" xfId="20" applyNumberFormat="1" applyFont="1" applyAlignment="1">
      <alignment horizontal="right"/>
    </xf>
    <xf numFmtId="177" fontId="17" fillId="0" borderId="0" xfId="20" applyNumberFormat="1" applyFont="1" applyAlignment="1">
      <alignment horizontal="right"/>
    </xf>
    <xf numFmtId="176" fontId="17" fillId="0" borderId="0" xfId="20" applyNumberFormat="1" applyFont="1" applyAlignment="1">
      <alignment horizontal="right"/>
    </xf>
    <xf numFmtId="185" fontId="17" fillId="0" borderId="0" xfId="20" applyNumberFormat="1" applyFont="1" applyBorder="1" applyAlignment="1">
      <alignment horizontal="right"/>
    </xf>
    <xf numFmtId="176" fontId="17" fillId="0" borderId="0" xfId="20" applyNumberFormat="1" applyFont="1" applyBorder="1" applyAlignment="1">
      <alignment horizontal="right"/>
    </xf>
    <xf numFmtId="3" fontId="17" fillId="0" borderId="0" xfId="20" applyNumberFormat="1" applyFont="1" applyBorder="1" applyAlignment="1">
      <alignment horizontal="right"/>
    </xf>
    <xf numFmtId="37" fontId="34" fillId="0" borderId="0" xfId="20" applyNumberFormat="1" applyFont="1" applyBorder="1" applyAlignment="1">
      <alignment horizontal="right"/>
    </xf>
    <xf numFmtId="176" fontId="17" fillId="0" borderId="2" xfId="20" applyNumberFormat="1" applyFont="1" applyBorder="1" applyAlignment="1">
      <alignment horizontal="right"/>
    </xf>
    <xf numFmtId="164" fontId="17" fillId="0" borderId="0" xfId="20" applyFont="1" applyAlignment="1">
      <alignment horizontal="left"/>
    </xf>
    <xf numFmtId="0" fontId="5" fillId="0" borderId="1" xfId="0" applyFont="1" applyBorder="1"/>
    <xf numFmtId="166" fontId="0" fillId="0" borderId="1" xfId="4" applyNumberFormat="1" applyFont="1" applyFill="1" applyBorder="1"/>
    <xf numFmtId="166" fontId="4" fillId="0" borderId="1" xfId="4" applyNumberFormat="1" applyFont="1" applyBorder="1" applyAlignment="1">
      <alignment horizontal="left"/>
    </xf>
    <xf numFmtId="171" fontId="0" fillId="0" borderId="1" xfId="3" applyNumberFormat="1" applyFont="1" applyBorder="1"/>
    <xf numFmtId="0" fontId="37" fillId="0" borderId="0" xfId="21"/>
    <xf numFmtId="0" fontId="37" fillId="0" borderId="18" xfId="21" applyBorder="1"/>
    <xf numFmtId="0" fontId="40" fillId="0" borderId="1" xfId="21" applyFont="1" applyBorder="1"/>
    <xf numFmtId="0" fontId="40" fillId="0" borderId="0" xfId="21" applyFont="1"/>
    <xf numFmtId="0" fontId="40" fillId="0" borderId="21" xfId="21" applyFont="1" applyBorder="1"/>
    <xf numFmtId="0" fontId="40" fillId="0" borderId="18" xfId="21" applyFont="1" applyBorder="1"/>
    <xf numFmtId="186" fontId="0" fillId="0" borderId="1" xfId="22" applyNumberFormat="1" applyFont="1" applyBorder="1"/>
    <xf numFmtId="186" fontId="0" fillId="0" borderId="0" xfId="22" applyNumberFormat="1" applyFont="1"/>
    <xf numFmtId="186" fontId="0" fillId="0" borderId="21" xfId="22" applyNumberFormat="1" applyFont="1" applyBorder="1"/>
    <xf numFmtId="0" fontId="40" fillId="0" borderId="22" xfId="21" applyFont="1" applyBorder="1"/>
    <xf numFmtId="186" fontId="0" fillId="0" borderId="23" xfId="22" applyNumberFormat="1" applyFont="1" applyBorder="1"/>
    <xf numFmtId="186" fontId="0" fillId="0" borderId="5" xfId="22" applyNumberFormat="1" applyFont="1" applyBorder="1"/>
    <xf numFmtId="186" fontId="0" fillId="0" borderId="24" xfId="22" applyNumberFormat="1" applyFont="1" applyBorder="1"/>
    <xf numFmtId="171" fontId="37" fillId="0" borderId="0" xfId="3" applyNumberFormat="1" applyFont="1"/>
    <xf numFmtId="0" fontId="37" fillId="0" borderId="0" xfId="21" applyAlignment="1">
      <alignment horizontal="left"/>
    </xf>
    <xf numFmtId="166" fontId="37" fillId="0" borderId="0" xfId="21" applyNumberFormat="1"/>
    <xf numFmtId="0" fontId="5" fillId="0" borderId="0" xfId="0" applyFont="1" applyFill="1"/>
    <xf numFmtId="164" fontId="41" fillId="0" borderId="0" xfId="2" applyFont="1" applyBorder="1"/>
    <xf numFmtId="0" fontId="41" fillId="0" borderId="0" xfId="0" applyFont="1" applyFill="1"/>
    <xf numFmtId="166" fontId="41" fillId="0" borderId="0" xfId="4" applyNumberFormat="1" applyFont="1"/>
    <xf numFmtId="0" fontId="0" fillId="0" borderId="0" xfId="0" applyAlignment="1">
      <alignment horizontal="right"/>
    </xf>
    <xf numFmtId="0" fontId="0" fillId="3" borderId="25" xfId="0" applyFill="1" applyBorder="1" applyAlignment="1">
      <alignment horizontal="center"/>
    </xf>
    <xf numFmtId="0" fontId="0" fillId="0" borderId="1" xfId="0" applyFill="1" applyBorder="1" applyAlignment="1">
      <alignment horizontal="center" wrapText="1"/>
    </xf>
    <xf numFmtId="0" fontId="0" fillId="0" borderId="0" xfId="0" applyFill="1" applyBorder="1" applyAlignment="1">
      <alignment horizontal="center" wrapText="1"/>
    </xf>
    <xf numFmtId="0" fontId="5" fillId="0" borderId="0" xfId="0" applyFont="1" applyBorder="1"/>
    <xf numFmtId="0" fontId="0" fillId="0" borderId="0" xfId="0" applyBorder="1"/>
    <xf numFmtId="166" fontId="0" fillId="0" borderId="1" xfId="4" applyNumberFormat="1" applyFon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0" fontId="0" fillId="0" borderId="0" xfId="0" applyBorder="1" applyAlignment="1">
      <alignment wrapText="1"/>
    </xf>
    <xf numFmtId="0" fontId="0" fillId="0" borderId="0" xfId="0" applyBorder="1" applyAlignment="1">
      <alignment horizontal="left" wrapText="1"/>
    </xf>
    <xf numFmtId="0" fontId="5" fillId="0" borderId="0" xfId="0" applyFont="1" applyBorder="1" applyAlignment="1">
      <alignment wrapText="1"/>
    </xf>
    <xf numFmtId="166" fontId="0" fillId="0" borderId="0" xfId="4" applyNumberFormat="1" applyFont="1" applyFill="1" applyBorder="1" applyAlignment="1">
      <alignment horizontal="center"/>
    </xf>
    <xf numFmtId="0" fontId="0" fillId="0" borderId="0" xfId="0" applyBorder="1" applyAlignment="1">
      <alignment horizontal="center"/>
    </xf>
    <xf numFmtId="166" fontId="0" fillId="0" borderId="0" xfId="4" applyNumberFormat="1" applyFont="1" applyBorder="1" applyAlignment="1">
      <alignment horizontal="center"/>
    </xf>
    <xf numFmtId="166" fontId="0" fillId="0" borderId="0" xfId="0" applyNumberFormat="1" applyBorder="1"/>
    <xf numFmtId="0" fontId="5" fillId="0" borderId="0" xfId="0" applyFont="1" applyBorder="1" applyAlignment="1"/>
    <xf numFmtId="0" fontId="6" fillId="0" borderId="0" xfId="0" applyFont="1"/>
    <xf numFmtId="0" fontId="0" fillId="0" borderId="0" xfId="0" applyFont="1" applyBorder="1" applyAlignment="1">
      <alignment wrapText="1"/>
    </xf>
    <xf numFmtId="0" fontId="0" fillId="0" borderId="0" xfId="0" applyFont="1" applyBorder="1" applyAlignment="1"/>
    <xf numFmtId="184" fontId="15" fillId="0" borderId="2" xfId="23" applyNumberFormat="1" applyFont="1" applyBorder="1" applyAlignment="1">
      <alignment horizontal="centerContinuous" wrapText="1"/>
    </xf>
    <xf numFmtId="184" fontId="8" fillId="0" borderId="0" xfId="24"/>
    <xf numFmtId="184" fontId="15" fillId="0" borderId="4" xfId="23" applyNumberFormat="1" applyFont="1" applyBorder="1" applyAlignment="1">
      <alignment horizontal="centerContinuous" wrapText="1"/>
    </xf>
    <xf numFmtId="184" fontId="8" fillId="0" borderId="3" xfId="23" applyNumberFormat="1" applyFont="1" applyBorder="1" applyAlignment="1"/>
    <xf numFmtId="184" fontId="8" fillId="0" borderId="2" xfId="24" applyBorder="1"/>
    <xf numFmtId="0" fontId="8" fillId="0" borderId="2" xfId="24" quotePrefix="1" applyNumberFormat="1" applyBorder="1" applyAlignment="1">
      <alignment horizontal="right"/>
    </xf>
    <xf numFmtId="184" fontId="8" fillId="0" borderId="4" xfId="24" applyBorder="1" applyAlignment="1">
      <alignment horizontal="centerContinuous" vertical="center" wrapText="1"/>
    </xf>
    <xf numFmtId="177" fontId="8" fillId="0" borderId="0" xfId="25" applyNumberFormat="1" applyFont="1" applyFill="1"/>
    <xf numFmtId="5" fontId="8" fillId="0" borderId="0" xfId="24" applyNumberFormat="1"/>
    <xf numFmtId="187" fontId="8" fillId="0" borderId="0" xfId="14" applyNumberFormat="1" applyFont="1" applyFill="1"/>
    <xf numFmtId="188" fontId="8" fillId="0" borderId="0" xfId="25" applyNumberFormat="1" applyFont="1" applyFill="1"/>
    <xf numFmtId="189" fontId="8" fillId="0" borderId="0" xfId="14" applyNumberFormat="1" applyFont="1" applyFill="1"/>
    <xf numFmtId="190" fontId="8" fillId="0" borderId="0" xfId="14" applyNumberFormat="1" applyFont="1" applyFill="1"/>
    <xf numFmtId="184" fontId="8" fillId="0" borderId="0" xfId="23" applyNumberFormat="1" applyFont="1" applyBorder="1" applyAlignment="1">
      <alignment horizontal="centerContinuous" wrapText="1"/>
    </xf>
    <xf numFmtId="172" fontId="8" fillId="0" borderId="0" xfId="24" applyNumberFormat="1"/>
    <xf numFmtId="184" fontId="8" fillId="0" borderId="0" xfId="24" applyAlignment="1">
      <alignment wrapText="1"/>
    </xf>
    <xf numFmtId="41" fontId="8" fillId="0" borderId="0" xfId="14" applyNumberFormat="1" applyFont="1" applyFill="1"/>
    <xf numFmtId="176" fontId="8" fillId="0" borderId="0" xfId="24" applyNumberFormat="1" applyAlignment="1">
      <alignment horizontal="center"/>
    </xf>
    <xf numFmtId="171" fontId="8" fillId="0" borderId="0" xfId="26" applyNumberFormat="1" applyFont="1" applyFill="1" applyAlignment="1">
      <alignment horizontal="right"/>
    </xf>
    <xf numFmtId="173" fontId="8" fillId="0" borderId="0" xfId="14" applyNumberFormat="1" applyFont="1" applyFill="1" applyAlignment="1">
      <alignment horizontal="right"/>
    </xf>
    <xf numFmtId="180" fontId="8" fillId="0" borderId="0" xfId="14" applyNumberFormat="1" applyFont="1" applyFill="1"/>
    <xf numFmtId="171" fontId="8" fillId="0" borderId="0" xfId="26" applyNumberFormat="1" applyFont="1" applyFill="1" applyBorder="1"/>
    <xf numFmtId="7" fontId="8" fillId="0" borderId="0" xfId="24" applyNumberFormat="1"/>
    <xf numFmtId="184" fontId="8" fillId="0" borderId="2" xfId="24" applyBorder="1" applyAlignment="1">
      <alignment wrapText="1"/>
    </xf>
    <xf numFmtId="171" fontId="8" fillId="0" borderId="2" xfId="26" applyNumberFormat="1" applyFont="1" applyFill="1" applyBorder="1"/>
    <xf numFmtId="191" fontId="8" fillId="0" borderId="0" xfId="24" applyNumberFormat="1"/>
    <xf numFmtId="184" fontId="8" fillId="0" borderId="0" xfId="24" applyAlignment="1">
      <alignment horizontal="right"/>
    </xf>
    <xf numFmtId="171" fontId="0" fillId="0" borderId="0" xfId="3" applyNumberFormat="1" applyFont="1" applyFill="1"/>
    <xf numFmtId="0" fontId="0" fillId="0" borderId="1" xfId="0" applyBorder="1" applyAlignment="1">
      <alignment horizontal="center"/>
    </xf>
    <xf numFmtId="0" fontId="0" fillId="0" borderId="0" xfId="0" applyAlignment="1">
      <alignment horizontal="center"/>
    </xf>
    <xf numFmtId="0" fontId="0" fillId="0" borderId="0" xfId="0" applyFont="1"/>
    <xf numFmtId="0" fontId="9" fillId="0" borderId="0" xfId="27"/>
    <xf numFmtId="192" fontId="9" fillId="0" borderId="0" xfId="27" applyNumberFormat="1"/>
    <xf numFmtId="172" fontId="9" fillId="0" borderId="0" xfId="27" applyNumberFormat="1"/>
    <xf numFmtId="171" fontId="0" fillId="0" borderId="0" xfId="3" applyNumberFormat="1" applyFont="1" applyBorder="1"/>
    <xf numFmtId="171" fontId="0" fillId="0" borderId="0" xfId="3" applyNumberFormat="1" applyFont="1"/>
    <xf numFmtId="180" fontId="0" fillId="0" borderId="0" xfId="1" applyNumberFormat="1" applyFont="1"/>
    <xf numFmtId="0" fontId="0" fillId="4" borderId="0" xfId="0" applyFill="1"/>
    <xf numFmtId="0" fontId="0" fillId="0" borderId="0" xfId="0" applyFont="1" applyFill="1" applyBorder="1" applyAlignment="1"/>
    <xf numFmtId="0" fontId="0" fillId="0" borderId="0" xfId="0" applyFont="1" applyFill="1" applyBorder="1" applyAlignment="1">
      <alignment wrapText="1"/>
    </xf>
    <xf numFmtId="44" fontId="0" fillId="0" borderId="0" xfId="0" applyNumberFormat="1"/>
    <xf numFmtId="9" fontId="0" fillId="0" borderId="0" xfId="3" applyFont="1"/>
    <xf numFmtId="180" fontId="0" fillId="0" borderId="0" xfId="0" applyNumberFormat="1"/>
    <xf numFmtId="9" fontId="0" fillId="0" borderId="0" xfId="0" applyNumberFormat="1"/>
    <xf numFmtId="171" fontId="0" fillId="0" borderId="0" xfId="0" applyNumberFormat="1"/>
    <xf numFmtId="180" fontId="41" fillId="0" borderId="0" xfId="1" applyNumberFormat="1" applyFont="1"/>
    <xf numFmtId="164" fontId="41" fillId="0" borderId="0" xfId="2" applyFont="1" applyFill="1" applyBorder="1"/>
    <xf numFmtId="166" fontId="41" fillId="0" borderId="0" xfId="4" applyNumberFormat="1" applyFont="1" applyFill="1"/>
    <xf numFmtId="171" fontId="0" fillId="0" borderId="0" xfId="3" applyNumberFormat="1" applyFont="1" applyFill="1" applyBorder="1"/>
    <xf numFmtId="0" fontId="5" fillId="0" borderId="0" xfId="0" applyFont="1" applyFill="1" applyBorder="1"/>
    <xf numFmtId="166" fontId="0" fillId="0" borderId="0" xfId="0" applyNumberFormat="1" applyFill="1" applyBorder="1"/>
    <xf numFmtId="166" fontId="0" fillId="0" borderId="0" xfId="0" applyNumberFormat="1" applyFill="1"/>
    <xf numFmtId="9" fontId="41" fillId="0" borderId="0" xfId="3" applyFont="1" applyAlignment="1">
      <alignment horizontal="center"/>
    </xf>
    <xf numFmtId="0" fontId="0" fillId="72" borderId="0" xfId="0" applyFill="1"/>
    <xf numFmtId="171" fontId="0" fillId="72" borderId="0" xfId="3" applyNumberFormat="1" applyFont="1" applyFill="1"/>
    <xf numFmtId="183" fontId="41" fillId="3" borderId="11" xfId="1" applyNumberFormat="1" applyFont="1" applyFill="1" applyBorder="1" applyAlignment="1">
      <alignment horizontal="center"/>
    </xf>
    <xf numFmtId="183" fontId="41" fillId="3" borderId="2" xfId="1" applyNumberFormat="1" applyFont="1" applyFill="1" applyBorder="1" applyAlignment="1">
      <alignment horizontal="center"/>
    </xf>
    <xf numFmtId="165" fontId="41" fillId="0" borderId="0" xfId="1" applyNumberFormat="1" applyFont="1" applyFill="1" applyAlignment="1">
      <alignment horizontal="center"/>
    </xf>
    <xf numFmtId="1" fontId="0" fillId="0" borderId="0" xfId="0" applyNumberFormat="1"/>
    <xf numFmtId="43" fontId="0" fillId="0" borderId="0" xfId="0" applyNumberFormat="1"/>
    <xf numFmtId="0" fontId="130" fillId="0" borderId="0" xfId="0" applyFont="1"/>
    <xf numFmtId="171" fontId="130" fillId="0" borderId="0" xfId="3" applyNumberFormat="1" applyFont="1"/>
    <xf numFmtId="171" fontId="2" fillId="0" borderId="0" xfId="3" applyNumberFormat="1" applyFont="1"/>
    <xf numFmtId="171" fontId="2" fillId="0" borderId="0" xfId="3" applyNumberFormat="1" applyFont="1" applyFill="1"/>
    <xf numFmtId="166" fontId="0" fillId="72" borderId="0" xfId="0" applyNumberFormat="1" applyFill="1"/>
    <xf numFmtId="10" fontId="0" fillId="0" borderId="0" xfId="3" applyNumberFormat="1" applyFont="1" applyFill="1"/>
    <xf numFmtId="10" fontId="41" fillId="0" borderId="0" xfId="3" applyNumberFormat="1" applyFont="1" applyFill="1"/>
    <xf numFmtId="10" fontId="0" fillId="72" borderId="0" xfId="3" applyNumberFormat="1" applyFont="1" applyFill="1"/>
    <xf numFmtId="0" fontId="0" fillId="73" borderId="0" xfId="0" applyFill="1"/>
    <xf numFmtId="9" fontId="0" fillId="73" borderId="0" xfId="0" applyNumberFormat="1" applyFill="1"/>
    <xf numFmtId="0" fontId="5" fillId="5" borderId="0" xfId="0" applyFont="1" applyFill="1"/>
    <xf numFmtId="0" fontId="0" fillId="5" borderId="0" xfId="0" applyFill="1" applyAlignment="1">
      <alignment horizontal="center"/>
    </xf>
    <xf numFmtId="0" fontId="0" fillId="3" borderId="10" xfId="0" applyFill="1" applyBorder="1" applyAlignment="1">
      <alignment horizontal="center"/>
    </xf>
    <xf numFmtId="183" fontId="0" fillId="3" borderId="12" xfId="1" applyNumberFormat="1" applyFont="1" applyFill="1" applyBorder="1" applyAlignment="1">
      <alignment horizontal="center"/>
    </xf>
    <xf numFmtId="183" fontId="0" fillId="3" borderId="11" xfId="1" applyNumberFormat="1" applyFont="1" applyFill="1" applyBorder="1" applyAlignment="1">
      <alignment horizontal="center" wrapText="1"/>
    </xf>
    <xf numFmtId="0" fontId="5" fillId="4" borderId="0" xfId="0" applyFont="1" applyFill="1" applyAlignment="1">
      <alignment horizontal="left" wrapText="1"/>
    </xf>
    <xf numFmtId="0" fontId="5" fillId="3" borderId="9" xfId="0" applyFont="1" applyFill="1" applyBorder="1" applyAlignment="1">
      <alignment horizontal="center" wrapText="1"/>
    </xf>
    <xf numFmtId="0" fontId="5" fillId="3" borderId="8" xfId="0" applyFont="1" applyFill="1" applyBorder="1" applyAlignment="1">
      <alignment horizontal="center" wrapText="1"/>
    </xf>
    <xf numFmtId="0" fontId="5" fillId="3" borderId="26" xfId="0" applyFont="1" applyFill="1" applyBorder="1" applyAlignment="1">
      <alignment horizontal="center" wrapText="1"/>
    </xf>
    <xf numFmtId="0" fontId="131" fillId="0" borderId="0" xfId="0" applyFont="1"/>
    <xf numFmtId="0" fontId="0" fillId="74" borderId="0" xfId="0" applyFill="1"/>
    <xf numFmtId="0" fontId="0" fillId="74" borderId="0" xfId="0" applyFill="1" applyAlignment="1">
      <alignment horizontal="center"/>
    </xf>
    <xf numFmtId="180" fontId="41" fillId="0" borderId="0" xfId="1" applyNumberFormat="1" applyFont="1" applyFill="1"/>
    <xf numFmtId="171" fontId="0" fillId="0" borderId="0" xfId="3" applyNumberFormat="1" applyFont="1" applyAlignment="1">
      <alignment horizontal="right"/>
    </xf>
    <xf numFmtId="171" fontId="0" fillId="0" borderId="0" xfId="3" applyNumberFormat="1" applyFont="1" applyAlignment="1">
      <alignment horizontal="center"/>
    </xf>
    <xf numFmtId="0" fontId="134" fillId="0" borderId="0" xfId="1841" applyFont="1"/>
    <xf numFmtId="0" fontId="133" fillId="0" borderId="0" xfId="1841"/>
    <xf numFmtId="9" fontId="133" fillId="0" borderId="0" xfId="1841" applyNumberFormat="1"/>
    <xf numFmtId="0" fontId="133" fillId="0" borderId="0" xfId="1841" applyAlignment="1">
      <alignment wrapText="1"/>
    </xf>
    <xf numFmtId="0" fontId="93" fillId="0" borderId="0" xfId="1841" applyFont="1"/>
    <xf numFmtId="180" fontId="0" fillId="0" borderId="0" xfId="1842" applyNumberFormat="1" applyFont="1" applyFill="1"/>
    <xf numFmtId="180" fontId="93" fillId="0" borderId="0" xfId="1842" applyNumberFormat="1" applyFont="1" applyFill="1"/>
    <xf numFmtId="180" fontId="133" fillId="0" borderId="0" xfId="1841" applyNumberFormat="1"/>
    <xf numFmtId="0" fontId="135" fillId="0" borderId="0" xfId="1841" applyFont="1"/>
    <xf numFmtId="0" fontId="136" fillId="0" borderId="0" xfId="1841" applyFont="1"/>
    <xf numFmtId="166" fontId="133" fillId="0" borderId="0" xfId="4" applyNumberFormat="1" applyFont="1"/>
    <xf numFmtId="9" fontId="133" fillId="0" borderId="0" xfId="3" applyFont="1"/>
    <xf numFmtId="171" fontId="133" fillId="0" borderId="0" xfId="3" applyNumberFormat="1" applyFont="1"/>
    <xf numFmtId="180" fontId="133" fillId="0" borderId="0" xfId="1" applyNumberFormat="1" applyFont="1"/>
    <xf numFmtId="10" fontId="133" fillId="0" borderId="0" xfId="3" applyNumberFormat="1" applyFont="1"/>
    <xf numFmtId="10" fontId="134" fillId="0" borderId="0" xfId="3" applyNumberFormat="1" applyFont="1"/>
    <xf numFmtId="0" fontId="1" fillId="0" borderId="0" xfId="1841" applyFont="1"/>
    <xf numFmtId="0" fontId="1" fillId="0" borderId="0" xfId="1841" applyFont="1" applyAlignment="1">
      <alignment wrapText="1"/>
    </xf>
    <xf numFmtId="10" fontId="133" fillId="0" borderId="0" xfId="4" applyNumberFormat="1" applyFont="1"/>
    <xf numFmtId="171" fontId="1" fillId="0" borderId="0" xfId="3" applyNumberFormat="1" applyFont="1"/>
    <xf numFmtId="171" fontId="133" fillId="0" borderId="0" xfId="1841" applyNumberFormat="1"/>
    <xf numFmtId="10" fontId="1" fillId="0" borderId="0" xfId="3" applyNumberFormat="1" applyFont="1"/>
    <xf numFmtId="10" fontId="1" fillId="0" borderId="0" xfId="3" applyNumberFormat="1" applyFont="1" applyAlignment="1">
      <alignment wrapText="1"/>
    </xf>
    <xf numFmtId="218" fontId="0" fillId="0" borderId="0" xfId="0" applyNumberFormat="1"/>
    <xf numFmtId="0" fontId="0" fillId="75" borderId="0" xfId="0" applyFill="1"/>
    <xf numFmtId="0" fontId="0" fillId="76" borderId="0" xfId="0" applyFill="1"/>
    <xf numFmtId="0" fontId="0" fillId="75" borderId="29" xfId="0" applyFill="1" applyBorder="1"/>
    <xf numFmtId="0" fontId="0" fillId="75" borderId="29" xfId="0" applyFill="1" applyBorder="1" applyAlignment="1">
      <alignment horizontal="left"/>
    </xf>
    <xf numFmtId="0" fontId="0" fillId="76" borderId="29" xfId="0" applyFill="1" applyBorder="1" applyAlignment="1">
      <alignment horizontal="left"/>
    </xf>
    <xf numFmtId="0" fontId="0" fillId="76" borderId="29" xfId="0" applyFill="1" applyBorder="1" applyAlignment="1">
      <alignment horizontal="center"/>
    </xf>
    <xf numFmtId="166" fontId="0" fillId="75" borderId="29" xfId="4" applyNumberFormat="1" applyFont="1" applyFill="1" applyBorder="1" applyAlignment="1">
      <alignment horizontal="center"/>
    </xf>
    <xf numFmtId="0" fontId="0" fillId="76" borderId="29" xfId="0" applyFill="1" applyBorder="1"/>
    <xf numFmtId="0" fontId="0" fillId="75" borderId="47" xfId="0" applyFill="1" applyBorder="1"/>
    <xf numFmtId="0" fontId="0" fillId="75" borderId="47" xfId="0" applyFill="1" applyBorder="1" applyAlignment="1">
      <alignment horizontal="center"/>
    </xf>
    <xf numFmtId="0" fontId="0" fillId="76" borderId="47" xfId="0" applyFill="1" applyBorder="1" applyAlignment="1">
      <alignment horizontal="center"/>
    </xf>
    <xf numFmtId="3" fontId="0" fillId="0" borderId="0" xfId="0" applyNumberFormat="1"/>
    <xf numFmtId="166" fontId="139" fillId="75" borderId="29" xfId="4" applyNumberFormat="1" applyFont="1" applyFill="1" applyBorder="1" applyAlignment="1">
      <alignment horizontal="center"/>
    </xf>
    <xf numFmtId="166" fontId="41" fillId="75" borderId="29" xfId="4" applyNumberFormat="1" applyFont="1" applyFill="1" applyBorder="1" applyAlignment="1">
      <alignment horizontal="center"/>
    </xf>
    <xf numFmtId="0" fontId="5" fillId="75" borderId="48" xfId="0" applyFont="1" applyFill="1" applyBorder="1"/>
    <xf numFmtId="166" fontId="5" fillId="75" borderId="48" xfId="4" applyNumberFormat="1" applyFont="1" applyFill="1" applyBorder="1" applyAlignment="1">
      <alignment horizontal="center"/>
    </xf>
    <xf numFmtId="0" fontId="5" fillId="75" borderId="29" xfId="0" applyFont="1" applyFill="1" applyBorder="1"/>
    <xf numFmtId="166" fontId="5" fillId="75" borderId="29" xfId="4" applyNumberFormat="1" applyFont="1" applyFill="1" applyBorder="1" applyAlignment="1">
      <alignment horizontal="center"/>
    </xf>
    <xf numFmtId="166" fontId="7" fillId="75" borderId="29" xfId="4" applyNumberFormat="1" applyFont="1" applyFill="1" applyBorder="1" applyAlignment="1">
      <alignment horizontal="center"/>
    </xf>
    <xf numFmtId="44" fontId="0" fillId="0" borderId="0" xfId="4" applyFont="1"/>
    <xf numFmtId="0" fontId="138" fillId="0" borderId="0" xfId="1845"/>
    <xf numFmtId="44" fontId="5" fillId="0" borderId="0" xfId="0" applyNumberFormat="1" applyFont="1"/>
    <xf numFmtId="43" fontId="0" fillId="0" borderId="0" xfId="1" applyFont="1"/>
    <xf numFmtId="166" fontId="5" fillId="76" borderId="48" xfId="4" applyNumberFormat="1" applyFont="1" applyFill="1" applyBorder="1" applyAlignment="1">
      <alignment horizontal="center"/>
    </xf>
    <xf numFmtId="9" fontId="6" fillId="0" borderId="0" xfId="3" applyFont="1"/>
    <xf numFmtId="211" fontId="0" fillId="75" borderId="29" xfId="3" applyNumberFormat="1" applyFont="1" applyFill="1" applyBorder="1" applyAlignment="1">
      <alignment horizontal="center"/>
    </xf>
    <xf numFmtId="0" fontId="131" fillId="0" borderId="0" xfId="0" applyFont="1" applyFill="1" applyBorder="1"/>
    <xf numFmtId="0" fontId="0" fillId="75" borderId="0" xfId="0" applyFill="1" applyAlignment="1">
      <alignment wrapText="1"/>
    </xf>
    <xf numFmtId="9" fontId="0" fillId="75" borderId="29" xfId="3" applyFont="1" applyFill="1" applyBorder="1" applyAlignment="1">
      <alignment horizontal="center"/>
    </xf>
    <xf numFmtId="0" fontId="5" fillId="75" borderId="29" xfId="0" applyFont="1" applyFill="1" applyBorder="1" applyAlignment="1">
      <alignment wrapText="1"/>
    </xf>
    <xf numFmtId="0" fontId="5" fillId="76" borderId="48" xfId="0" applyFont="1" applyFill="1" applyBorder="1" applyAlignment="1">
      <alignment horizontal="center"/>
    </xf>
    <xf numFmtId="0" fontId="5" fillId="76" borderId="48" xfId="0" applyFont="1" applyFill="1" applyBorder="1"/>
    <xf numFmtId="0" fontId="0" fillId="76" borderId="0" xfId="0" applyFill="1" applyAlignment="1">
      <alignment wrapText="1"/>
    </xf>
    <xf numFmtId="0" fontId="5" fillId="75" borderId="0" xfId="0" applyFont="1" applyFill="1"/>
    <xf numFmtId="0" fontId="5" fillId="76" borderId="0" xfId="0" applyFont="1" applyFill="1"/>
    <xf numFmtId="0" fontId="0" fillId="76" borderId="29" xfId="0" applyFill="1" applyBorder="1" applyAlignment="1">
      <alignment horizontal="left" wrapText="1"/>
    </xf>
    <xf numFmtId="180" fontId="41" fillId="0" borderId="0" xfId="0" applyNumberFormat="1" applyFont="1"/>
    <xf numFmtId="0" fontId="0" fillId="0" borderId="1" xfId="0" applyBorder="1" applyAlignment="1">
      <alignment horizontal="center"/>
    </xf>
    <xf numFmtId="210" fontId="6" fillId="0" borderId="0" xfId="3" applyNumberFormat="1" applyFont="1"/>
    <xf numFmtId="0" fontId="141" fillId="0" borderId="0" xfId="0" applyFont="1" applyFill="1"/>
    <xf numFmtId="0" fontId="141" fillId="0" borderId="0" xfId="0" applyFont="1"/>
    <xf numFmtId="0" fontId="131" fillId="0" borderId="0" xfId="0" applyFont="1" applyFill="1"/>
    <xf numFmtId="166" fontId="0" fillId="75" borderId="48" xfId="4" applyNumberFormat="1" applyFont="1" applyFill="1" applyBorder="1" applyAlignment="1">
      <alignment horizontal="center"/>
    </xf>
    <xf numFmtId="0" fontId="6" fillId="2" borderId="0" xfId="0" applyFont="1" applyFill="1"/>
    <xf numFmtId="166" fontId="2" fillId="0" borderId="0" xfId="4" applyNumberFormat="1" applyFont="1" applyFill="1"/>
    <xf numFmtId="166" fontId="2" fillId="0" borderId="0" xfId="4" applyNumberFormat="1" applyFont="1"/>
    <xf numFmtId="10" fontId="2" fillId="0" borderId="0" xfId="3" applyNumberFormat="1" applyFont="1"/>
    <xf numFmtId="166" fontId="2" fillId="0" borderId="0" xfId="0" applyNumberFormat="1" applyFont="1" applyFill="1"/>
    <xf numFmtId="166" fontId="2" fillId="0" borderId="0" xfId="0" applyNumberFormat="1" applyFont="1"/>
    <xf numFmtId="0" fontId="0" fillId="2" borderId="0" xfId="0" applyFont="1" applyFill="1"/>
    <xf numFmtId="0" fontId="0" fillId="0" borderId="0" xfId="0" applyFont="1" applyFill="1"/>
    <xf numFmtId="164" fontId="0" fillId="0" borderId="0" xfId="2" applyFont="1" applyBorder="1"/>
    <xf numFmtId="164" fontId="5" fillId="0" borderId="0" xfId="2" applyFont="1" applyBorder="1"/>
    <xf numFmtId="166" fontId="6" fillId="0" borderId="0" xfId="4" applyNumberFormat="1" applyFont="1"/>
    <xf numFmtId="166" fontId="6" fillId="0" borderId="0" xfId="4" applyNumberFormat="1" applyFont="1" applyFill="1"/>
    <xf numFmtId="10" fontId="41" fillId="0" borderId="0" xfId="3" applyNumberFormat="1" applyFont="1"/>
    <xf numFmtId="166" fontId="41" fillId="0" borderId="0" xfId="0" applyNumberFormat="1" applyFont="1"/>
    <xf numFmtId="166" fontId="41" fillId="73" borderId="0" xfId="4" applyNumberFormat="1" applyFont="1" applyFill="1"/>
    <xf numFmtId="0" fontId="41" fillId="0" borderId="0" xfId="0" applyFont="1"/>
    <xf numFmtId="164" fontId="41" fillId="73" borderId="0" xfId="2" applyFont="1" applyFill="1" applyBorder="1"/>
    <xf numFmtId="180" fontId="41" fillId="73" borderId="0" xfId="1" applyNumberFormat="1" applyFont="1" applyFill="1"/>
    <xf numFmtId="180" fontId="0" fillId="73" borderId="0" xfId="0" applyNumberFormat="1" applyFill="1"/>
    <xf numFmtId="180" fontId="0" fillId="73" borderId="0" xfId="1" applyNumberFormat="1" applyFont="1" applyFill="1"/>
    <xf numFmtId="180" fontId="41" fillId="73" borderId="0" xfId="0" applyNumberFormat="1" applyFont="1" applyFill="1"/>
    <xf numFmtId="0" fontId="41" fillId="73" borderId="0" xfId="0" applyFont="1" applyFill="1"/>
    <xf numFmtId="210" fontId="0" fillId="0" borderId="0" xfId="3" applyNumberFormat="1" applyFont="1" applyFill="1"/>
    <xf numFmtId="210" fontId="0" fillId="0" borderId="0" xfId="3" applyNumberFormat="1" applyFont="1"/>
    <xf numFmtId="164" fontId="7" fillId="0" borderId="0" xfId="2" applyFont="1" applyFill="1" applyBorder="1"/>
    <xf numFmtId="0" fontId="37" fillId="0" borderId="0" xfId="1853" applyFont="1"/>
    <xf numFmtId="180" fontId="37" fillId="0" borderId="0" xfId="1853" applyNumberFormat="1" applyFont="1"/>
    <xf numFmtId="0" fontId="142" fillId="0" borderId="0" xfId="1853"/>
    <xf numFmtId="0" fontId="37" fillId="0" borderId="0" xfId="1853" applyFont="1" applyAlignment="1">
      <alignment horizontal="right"/>
    </xf>
    <xf numFmtId="43" fontId="142" fillId="0" borderId="0" xfId="1853" applyNumberFormat="1"/>
    <xf numFmtId="0" fontId="37" fillId="0" borderId="0" xfId="1853" applyFont="1" applyAlignment="1">
      <alignment wrapText="1"/>
    </xf>
    <xf numFmtId="180" fontId="144" fillId="77" borderId="0" xfId="1853" applyNumberFormat="1" applyFont="1" applyFill="1" applyAlignment="1">
      <alignment horizontal="right"/>
    </xf>
    <xf numFmtId="180" fontId="144" fillId="0" borderId="0" xfId="1853" applyNumberFormat="1" applyFont="1" applyAlignment="1">
      <alignment horizontal="right"/>
    </xf>
    <xf numFmtId="180" fontId="37" fillId="0" borderId="0" xfId="1856" applyNumberFormat="1" applyFont="1" applyAlignment="1"/>
    <xf numFmtId="0" fontId="145" fillId="0" borderId="0" xfId="1857" applyAlignment="1"/>
    <xf numFmtId="2" fontId="37" fillId="0" borderId="0" xfId="1853" applyNumberFormat="1" applyFont="1"/>
    <xf numFmtId="0" fontId="43" fillId="0" borderId="0" xfId="1853" applyFont="1"/>
    <xf numFmtId="0" fontId="148" fillId="0" borderId="51" xfId="1853" applyFont="1" applyBorder="1"/>
    <xf numFmtId="0" fontId="146" fillId="0" borderId="0" xfId="1853" applyFont="1"/>
    <xf numFmtId="0" fontId="148" fillId="0" borderId="55" xfId="1853" applyFont="1" applyBorder="1" applyAlignment="1">
      <alignment horizontal="center"/>
    </xf>
    <xf numFmtId="0" fontId="146" fillId="0" borderId="56" xfId="1853" applyFont="1" applyBorder="1" applyAlignment="1">
      <alignment horizontal="centerContinuous"/>
    </xf>
    <xf numFmtId="0" fontId="146" fillId="0" borderId="0" xfId="1853" applyFont="1" applyAlignment="1">
      <alignment horizontal="centerContinuous"/>
    </xf>
    <xf numFmtId="0" fontId="148" fillId="0" borderId="55" xfId="1853" applyFont="1" applyBorder="1"/>
    <xf numFmtId="0" fontId="147" fillId="0" borderId="0" xfId="1853" applyFont="1" applyAlignment="1">
      <alignment horizontal="centerContinuous"/>
    </xf>
    <xf numFmtId="0" fontId="148" fillId="0" borderId="59" xfId="1853" applyFont="1" applyBorder="1" applyAlignment="1">
      <alignment horizontal="centerContinuous"/>
    </xf>
    <xf numFmtId="0" fontId="148" fillId="0" borderId="60" xfId="1853" applyFont="1" applyBorder="1" applyAlignment="1">
      <alignment horizontal="centerContinuous"/>
    </xf>
    <xf numFmtId="0" fontId="149" fillId="0" borderId="55" xfId="1853" applyFont="1" applyBorder="1"/>
    <xf numFmtId="0" fontId="149" fillId="0" borderId="56" xfId="1853" applyFont="1" applyBorder="1" applyAlignment="1">
      <alignment horizontal="centerContinuous"/>
    </xf>
    <xf numFmtId="0" fontId="149" fillId="0" borderId="0" xfId="1853" applyFont="1" applyAlignment="1">
      <alignment horizontal="centerContinuous"/>
    </xf>
    <xf numFmtId="0" fontId="149" fillId="0" borderId="48" xfId="1853" applyFont="1" applyBorder="1" applyAlignment="1">
      <alignment horizontal="centerContinuous"/>
    </xf>
    <xf numFmtId="0" fontId="149" fillId="0" borderId="60" xfId="1853" applyFont="1" applyBorder="1" applyAlignment="1">
      <alignment horizontal="centerContinuous"/>
    </xf>
    <xf numFmtId="0" fontId="149" fillId="0" borderId="61" xfId="1853" applyFont="1" applyBorder="1" applyAlignment="1">
      <alignment wrapText="1"/>
    </xf>
    <xf numFmtId="0" fontId="149" fillId="0" borderId="59" xfId="1853" applyFont="1" applyBorder="1" applyAlignment="1">
      <alignment horizontal="center"/>
    </xf>
    <xf numFmtId="0" fontId="149" fillId="0" borderId="4" xfId="1853" applyFont="1" applyBorder="1" applyAlignment="1">
      <alignment horizontal="center"/>
    </xf>
    <xf numFmtId="0" fontId="149" fillId="0" borderId="62" xfId="1853" applyFont="1" applyBorder="1" applyAlignment="1">
      <alignment horizontal="center"/>
    </xf>
    <xf numFmtId="0" fontId="149" fillId="0" borderId="55" xfId="1853" applyFont="1" applyBorder="1" applyAlignment="1">
      <alignment wrapText="1"/>
    </xf>
    <xf numFmtId="37" fontId="149" fillId="0" borderId="56" xfId="1853" applyNumberFormat="1" applyFont="1" applyBorder="1"/>
    <xf numFmtId="185" fontId="149" fillId="0" borderId="0" xfId="1854" applyNumberFormat="1" applyFont="1" applyFill="1" applyBorder="1" applyAlignment="1" applyProtection="1">
      <alignment horizontal="right" indent="1"/>
    </xf>
    <xf numFmtId="219" fontId="149" fillId="0" borderId="56" xfId="1856" applyNumberFormat="1" applyFont="1" applyFill="1" applyBorder="1" applyProtection="1"/>
    <xf numFmtId="219" fontId="149" fillId="0" borderId="60" xfId="1856" applyNumberFormat="1" applyFont="1" applyFill="1" applyBorder="1" applyProtection="1"/>
    <xf numFmtId="37" fontId="43" fillId="0" borderId="56" xfId="1853" applyNumberFormat="1" applyFont="1" applyBorder="1"/>
    <xf numFmtId="3" fontId="43" fillId="0" borderId="0" xfId="1853" applyNumberFormat="1" applyFont="1" applyAlignment="1">
      <alignment horizontal="right" indent="1"/>
    </xf>
    <xf numFmtId="0" fontId="43" fillId="0" borderId="56" xfId="1853" applyFont="1" applyBorder="1"/>
    <xf numFmtId="219" fontId="43" fillId="0" borderId="56" xfId="1856" applyNumberFormat="1" applyFont="1" applyFill="1" applyBorder="1" applyProtection="1"/>
    <xf numFmtId="219" fontId="43" fillId="0" borderId="60" xfId="1856" applyNumberFormat="1" applyFont="1" applyFill="1" applyBorder="1" applyProtection="1"/>
    <xf numFmtId="3" fontId="149" fillId="0" borderId="0" xfId="1853" applyNumberFormat="1" applyFont="1" applyAlignment="1">
      <alignment horizontal="right" indent="1"/>
    </xf>
    <xf numFmtId="219" fontId="149" fillId="78" borderId="60" xfId="1856" applyNumberFormat="1" applyFont="1" applyFill="1" applyBorder="1" applyProtection="1"/>
    <xf numFmtId="0" fontId="146" fillId="0" borderId="55" xfId="1853" applyFont="1" applyBorder="1" applyAlignment="1">
      <alignment wrapText="1"/>
    </xf>
    <xf numFmtId="0" fontId="146" fillId="0" borderId="56" xfId="1853" applyFont="1" applyBorder="1"/>
    <xf numFmtId="3" fontId="146" fillId="0" borderId="27" xfId="1853" applyNumberFormat="1" applyFont="1" applyBorder="1" applyAlignment="1">
      <alignment horizontal="right" indent="1"/>
    </xf>
    <xf numFmtId="219" fontId="146" fillId="0" borderId="56" xfId="1856" applyNumberFormat="1" applyFont="1" applyFill="1" applyBorder="1"/>
    <xf numFmtId="219" fontId="146" fillId="0" borderId="60" xfId="1856" applyNumberFormat="1" applyFont="1" applyFill="1" applyBorder="1"/>
    <xf numFmtId="0" fontId="148" fillId="0" borderId="55" xfId="1853" applyFont="1" applyBorder="1" applyAlignment="1">
      <alignment wrapText="1"/>
    </xf>
    <xf numFmtId="37" fontId="43" fillId="0" borderId="56" xfId="1853" applyNumberFormat="1" applyFont="1" applyBorder="1" applyAlignment="1">
      <alignment horizontal="right"/>
    </xf>
    <xf numFmtId="37" fontId="146" fillId="0" borderId="56" xfId="1853" applyNumberFormat="1" applyFont="1" applyBorder="1"/>
    <xf numFmtId="185" fontId="146" fillId="0" borderId="0" xfId="1854" applyNumberFormat="1" applyFont="1" applyFill="1" applyBorder="1" applyAlignment="1" applyProtection="1">
      <alignment horizontal="right" indent="1"/>
    </xf>
    <xf numFmtId="219" fontId="148" fillId="0" borderId="56" xfId="1856" applyNumberFormat="1" applyFont="1" applyFill="1" applyBorder="1" applyProtection="1"/>
    <xf numFmtId="219" fontId="148" fillId="0" borderId="60" xfId="1856" applyNumberFormat="1" applyFont="1" applyFill="1" applyBorder="1" applyProtection="1"/>
    <xf numFmtId="0" fontId="148" fillId="0" borderId="63" xfId="1853" applyFont="1" applyBorder="1" applyAlignment="1">
      <alignment wrapText="1"/>
    </xf>
    <xf numFmtId="0" fontId="148" fillId="0" borderId="64" xfId="1853" applyFont="1" applyBorder="1"/>
    <xf numFmtId="0" fontId="148" fillId="0" borderId="5" xfId="1853" applyFont="1" applyBorder="1"/>
    <xf numFmtId="0" fontId="148" fillId="0" borderId="65" xfId="1853" applyFont="1" applyBorder="1"/>
    <xf numFmtId="0" fontId="43" fillId="0" borderId="0" xfId="1853" applyFont="1" applyAlignment="1">
      <alignment wrapText="1"/>
    </xf>
    <xf numFmtId="3" fontId="149" fillId="0" borderId="0" xfId="1854" applyNumberFormat="1" applyFont="1" applyFill="1" applyBorder="1" applyAlignment="1" applyProtection="1">
      <alignment horizontal="right" indent="1"/>
    </xf>
    <xf numFmtId="3" fontId="43" fillId="0" borderId="0" xfId="1853" applyNumberFormat="1" applyFont="1" applyAlignment="1">
      <alignment horizontal="right" indent="2"/>
    </xf>
    <xf numFmtId="0" fontId="2" fillId="81" borderId="0" xfId="988" applyFill="1"/>
    <xf numFmtId="0" fontId="151" fillId="79" borderId="76" xfId="1853" applyFont="1" applyFill="1" applyBorder="1" applyAlignment="1">
      <alignment horizontal="center" wrapText="1"/>
    </xf>
    <xf numFmtId="0" fontId="152" fillId="79" borderId="76" xfId="988" applyFont="1" applyFill="1" applyBorder="1" applyAlignment="1">
      <alignment horizontal="center" wrapText="1"/>
    </xf>
    <xf numFmtId="0" fontId="153" fillId="80" borderId="77" xfId="1853" applyFont="1" applyFill="1" applyBorder="1" applyAlignment="1">
      <alignment horizontal="center" vertical="top" wrapText="1"/>
    </xf>
    <xf numFmtId="220" fontId="154" fillId="82" borderId="76" xfId="1853" applyNumberFormat="1" applyFont="1" applyFill="1" applyBorder="1" applyAlignment="1">
      <alignment horizontal="right" wrapText="1"/>
    </xf>
    <xf numFmtId="220" fontId="155" fillId="82" borderId="76" xfId="988" applyNumberFormat="1" applyFont="1" applyFill="1" applyBorder="1" applyAlignment="1">
      <alignment horizontal="right" wrapText="1"/>
    </xf>
    <xf numFmtId="0" fontId="150" fillId="80" borderId="78" xfId="1853" applyFont="1" applyFill="1" applyBorder="1" applyAlignment="1">
      <alignment horizontal="center" vertical="top" wrapText="1"/>
    </xf>
    <xf numFmtId="220" fontId="154" fillId="80" borderId="78" xfId="1853" applyNumberFormat="1" applyFont="1" applyFill="1" applyBorder="1" applyAlignment="1">
      <alignment horizontal="right" wrapText="1"/>
    </xf>
    <xf numFmtId="220" fontId="155" fillId="80" borderId="78" xfId="988" applyNumberFormat="1" applyFont="1" applyFill="1" applyBorder="1" applyAlignment="1">
      <alignment horizontal="right" wrapText="1"/>
    </xf>
    <xf numFmtId="180" fontId="2" fillId="81" borderId="0" xfId="988" applyNumberFormat="1" applyFill="1"/>
    <xf numFmtId="180" fontId="2" fillId="81" borderId="0" xfId="1856" applyNumberFormat="1" applyFont="1" applyFill="1" applyBorder="1" applyAlignment="1" applyProtection="1"/>
    <xf numFmtId="220" fontId="2" fillId="81" borderId="0" xfId="988" applyNumberFormat="1" applyFill="1"/>
    <xf numFmtId="171" fontId="2" fillId="81" borderId="0" xfId="1855" applyNumberFormat="1" applyFont="1" applyFill="1" applyBorder="1" applyAlignment="1" applyProtection="1"/>
    <xf numFmtId="0" fontId="156" fillId="0" borderId="29" xfId="1853" applyFont="1" applyBorder="1" applyAlignment="1">
      <alignment horizontal="left" vertical="center" wrapText="1"/>
    </xf>
    <xf numFmtId="0" fontId="142" fillId="0" borderId="0" xfId="1853" applyAlignment="1">
      <alignment wrapText="1"/>
    </xf>
    <xf numFmtId="180" fontId="0" fillId="0" borderId="0" xfId="1856" applyNumberFormat="1" applyFont="1" applyAlignment="1">
      <alignment wrapText="1"/>
    </xf>
    <xf numFmtId="180" fontId="142" fillId="0" borderId="0" xfId="1853" applyNumberFormat="1" applyAlignment="1">
      <alignment wrapText="1"/>
    </xf>
    <xf numFmtId="184" fontId="16" fillId="0" borderId="0" xfId="1853" applyNumberFormat="1" applyFont="1"/>
    <xf numFmtId="221" fontId="157" fillId="0" borderId="0" xfId="1853" applyNumberFormat="1" applyFont="1" applyAlignment="1">
      <alignment horizontal="right"/>
    </xf>
    <xf numFmtId="180" fontId="37" fillId="0" borderId="0" xfId="1" applyNumberFormat="1" applyFont="1"/>
    <xf numFmtId="180" fontId="143" fillId="0" borderId="0" xfId="1853" applyNumberFormat="1" applyFont="1"/>
    <xf numFmtId="180" fontId="143" fillId="0" borderId="0" xfId="1853" applyNumberFormat="1" applyFont="1" applyAlignment="1">
      <alignment horizontal="right"/>
    </xf>
    <xf numFmtId="9" fontId="37" fillId="0" borderId="0" xfId="1853" applyNumberFormat="1" applyFont="1" applyFill="1"/>
    <xf numFmtId="171" fontId="37" fillId="0" borderId="0" xfId="1853" applyNumberFormat="1" applyFont="1" applyFill="1"/>
    <xf numFmtId="0" fontId="37" fillId="0" borderId="0" xfId="1853" applyFont="1" applyFill="1"/>
    <xf numFmtId="0" fontId="142" fillId="0" borderId="0" xfId="1853" applyFill="1"/>
    <xf numFmtId="0" fontId="0" fillId="0" borderId="0" xfId="0" applyBorder="1" applyAlignment="1">
      <alignment horizontal="center"/>
    </xf>
    <xf numFmtId="0" fontId="0" fillId="0" borderId="1" xfId="0" applyBorder="1" applyAlignment="1">
      <alignment horizontal="center"/>
    </xf>
    <xf numFmtId="0" fontId="1" fillId="0" borderId="0" xfId="1841" applyFont="1" applyAlignment="1">
      <alignment wrapText="1"/>
    </xf>
    <xf numFmtId="0" fontId="0" fillId="75" borderId="49" xfId="0" applyFill="1" applyBorder="1" applyAlignment="1">
      <alignment horizontal="left"/>
    </xf>
    <xf numFmtId="0" fontId="0" fillId="75" borderId="50" xfId="0" applyFill="1" applyBorder="1" applyAlignment="1">
      <alignment horizontal="left"/>
    </xf>
    <xf numFmtId="0" fontId="38" fillId="0" borderId="15" xfId="21" applyFont="1" applyBorder="1" applyAlignment="1">
      <alignment horizontal="center"/>
    </xf>
    <xf numFmtId="0" fontId="38" fillId="0" borderId="16" xfId="21" applyFont="1" applyBorder="1" applyAlignment="1">
      <alignment horizontal="center"/>
    </xf>
    <xf numFmtId="0" fontId="38" fillId="0" borderId="17" xfId="21" applyFont="1" applyBorder="1" applyAlignment="1">
      <alignment horizontal="center"/>
    </xf>
    <xf numFmtId="0" fontId="39" fillId="0" borderId="19" xfId="21" applyFont="1" applyBorder="1" applyAlignment="1">
      <alignment horizontal="center"/>
    </xf>
    <xf numFmtId="0" fontId="39" fillId="0" borderId="4" xfId="21" applyFont="1" applyBorder="1" applyAlignment="1">
      <alignment horizontal="center"/>
    </xf>
    <xf numFmtId="0" fontId="39" fillId="0" borderId="20" xfId="21" applyFont="1" applyBorder="1" applyAlignment="1">
      <alignment horizontal="center"/>
    </xf>
    <xf numFmtId="164" fontId="35" fillId="0" borderId="0" xfId="20" applyFont="1" applyBorder="1" applyAlignment="1">
      <alignment horizontal="left"/>
    </xf>
    <xf numFmtId="164" fontId="34" fillId="0" borderId="0" xfId="20" applyFont="1" applyAlignment="1">
      <alignment horizontal="left"/>
    </xf>
    <xf numFmtId="164" fontId="11" fillId="0" borderId="0" xfId="10" applyFont="1" applyAlignment="1">
      <alignment horizontal="left"/>
    </xf>
    <xf numFmtId="164" fontId="8" fillId="0" borderId="0" xfId="10" applyAlignment="1">
      <alignment horizontal="left"/>
    </xf>
    <xf numFmtId="171" fontId="41" fillId="0" borderId="0" xfId="3" applyNumberFormat="1" applyFont="1"/>
    <xf numFmtId="166" fontId="7" fillId="75" borderId="48" xfId="4" applyNumberFormat="1" applyFont="1" applyFill="1" applyBorder="1" applyAlignment="1">
      <alignment horizontal="center"/>
    </xf>
    <xf numFmtId="0" fontId="1" fillId="0" borderId="0" xfId="1841" applyFont="1" applyAlignment="1"/>
    <xf numFmtId="0" fontId="133" fillId="0" borderId="0" xfId="1841" applyAlignment="1"/>
    <xf numFmtId="0" fontId="37" fillId="0" borderId="0" xfId="21" applyAlignment="1"/>
    <xf numFmtId="0" fontId="38" fillId="0" borderId="14" xfId="21" applyFont="1" applyBorder="1" applyAlignment="1">
      <alignment horizontal="left"/>
    </xf>
    <xf numFmtId="0" fontId="37" fillId="0" borderId="59" xfId="21" applyBorder="1"/>
    <xf numFmtId="1" fontId="36" fillId="0" borderId="0" xfId="20" applyNumberFormat="1" applyFont="1" applyBorder="1" applyAlignment="1">
      <alignment horizontal="left" vertical="top" wrapText="1"/>
    </xf>
    <xf numFmtId="1" fontId="36" fillId="0" borderId="4" xfId="20" applyNumberFormat="1" applyFont="1" applyBorder="1" applyAlignment="1">
      <alignment horizontal="left" vertical="top"/>
    </xf>
    <xf numFmtId="1" fontId="17" fillId="0" borderId="0" xfId="20" applyNumberFormat="1" applyFont="1" applyBorder="1" applyAlignment="1">
      <alignment horizontal="left" vertical="top"/>
    </xf>
    <xf numFmtId="164" fontId="35" fillId="0" borderId="0" xfId="20" applyFont="1" applyAlignment="1">
      <alignment horizontal="left"/>
    </xf>
    <xf numFmtId="0" fontId="29" fillId="0" borderId="0" xfId="0" applyFont="1" applyAlignment="1">
      <alignment horizontal="left"/>
    </xf>
    <xf numFmtId="0" fontId="29" fillId="0" borderId="0" xfId="0" applyFont="1" applyAlignment="1"/>
    <xf numFmtId="164" fontId="8" fillId="0" borderId="4" xfId="2" applyFont="1" applyBorder="1" applyAlignment="1">
      <alignment horizontal="left"/>
    </xf>
    <xf numFmtId="164" fontId="8" fillId="0" borderId="0" xfId="2" applyFont="1" applyAlignment="1">
      <alignment horizontal="left"/>
    </xf>
    <xf numFmtId="164" fontId="20" fillId="0" borderId="4" xfId="10" applyFont="1" applyBorder="1" applyAlignment="1">
      <alignment horizontal="left"/>
    </xf>
    <xf numFmtId="164" fontId="20" fillId="0" borderId="0" xfId="10" applyFont="1" applyAlignment="1">
      <alignment horizontal="left"/>
    </xf>
    <xf numFmtId="164" fontId="8" fillId="0" borderId="0" xfId="10" applyAlignment="1"/>
    <xf numFmtId="184" fontId="8" fillId="0" borderId="0" xfId="24" applyAlignment="1"/>
    <xf numFmtId="0" fontId="147" fillId="0" borderId="0" xfId="1853" applyFont="1" applyAlignment="1">
      <alignment horizontal="left"/>
    </xf>
    <xf numFmtId="0" fontId="148" fillId="0" borderId="52" xfId="1853" applyFont="1" applyBorder="1" applyAlignment="1"/>
    <xf numFmtId="0" fontId="148" fillId="0" borderId="53" xfId="1853" applyFont="1" applyBorder="1" applyAlignment="1"/>
    <xf numFmtId="0" fontId="146" fillId="0" borderId="54" xfId="1853" applyFont="1" applyBorder="1" applyAlignment="1"/>
    <xf numFmtId="0" fontId="146" fillId="0" borderId="17" xfId="1853" applyFont="1" applyBorder="1" applyAlignment="1"/>
    <xf numFmtId="0" fontId="146" fillId="0" borderId="57" xfId="1853" applyFont="1" applyBorder="1" applyAlignment="1"/>
    <xf numFmtId="0" fontId="146" fillId="0" borderId="58" xfId="1853" applyFont="1" applyBorder="1" applyAlignment="1"/>
    <xf numFmtId="0" fontId="146" fillId="0" borderId="0" xfId="1853" applyFont="1" applyAlignment="1"/>
    <xf numFmtId="0" fontId="147" fillId="0" borderId="0" xfId="1853" applyFont="1" applyAlignment="1"/>
    <xf numFmtId="0" fontId="151" fillId="80" borderId="67" xfId="1853" applyFont="1" applyFill="1" applyBorder="1" applyAlignment="1">
      <alignment horizontal="center"/>
    </xf>
    <xf numFmtId="0" fontId="151" fillId="80" borderId="68" xfId="1853" applyFont="1" applyFill="1" applyBorder="1" applyAlignment="1">
      <alignment horizontal="center"/>
    </xf>
    <xf numFmtId="0" fontId="151" fillId="80" borderId="67" xfId="1853" applyFont="1" applyFill="1" applyBorder="1" applyAlignment="1"/>
    <xf numFmtId="0" fontId="151" fillId="80" borderId="68" xfId="1853" applyFont="1" applyFill="1" applyBorder="1" applyAlignment="1"/>
    <xf numFmtId="0" fontId="151" fillId="80" borderId="66" xfId="1853" applyFont="1" applyFill="1" applyBorder="1" applyAlignment="1"/>
    <xf numFmtId="0" fontId="152" fillId="80" borderId="67" xfId="988" applyFont="1" applyFill="1" applyBorder="1" applyAlignment="1"/>
    <xf numFmtId="0" fontId="152" fillId="80" borderId="68" xfId="988" applyFont="1" applyFill="1" applyBorder="1" applyAlignment="1"/>
    <xf numFmtId="0" fontId="151" fillId="80" borderId="73" xfId="1853" applyFont="1" applyFill="1" applyBorder="1" applyAlignment="1">
      <alignment horizontal="center"/>
    </xf>
    <xf numFmtId="0" fontId="151" fillId="80" borderId="74" xfId="1853" applyFont="1" applyFill="1" applyBorder="1" applyAlignment="1">
      <alignment horizontal="center"/>
    </xf>
    <xf numFmtId="0" fontId="151" fillId="80" borderId="73" xfId="1853" applyFont="1" applyFill="1" applyBorder="1" applyAlignment="1"/>
    <xf numFmtId="0" fontId="151" fillId="80" borderId="74" xfId="1853" applyFont="1" applyFill="1" applyBorder="1" applyAlignment="1"/>
    <xf numFmtId="0" fontId="151" fillId="80" borderId="75" xfId="1853" applyFont="1" applyFill="1" applyBorder="1" applyAlignment="1"/>
    <xf numFmtId="0" fontId="152" fillId="80" borderId="73" xfId="988" applyFont="1" applyFill="1" applyBorder="1" applyAlignment="1"/>
    <xf numFmtId="0" fontId="152" fillId="80" borderId="74" xfId="988" applyFont="1" applyFill="1" applyBorder="1" applyAlignment="1"/>
    <xf numFmtId="0" fontId="151" fillId="80" borderId="66" xfId="1853" applyFont="1" applyFill="1" applyBorder="1" applyAlignment="1">
      <alignment horizontal="center"/>
    </xf>
    <xf numFmtId="0" fontId="151" fillId="79" borderId="69" xfId="1853" applyFont="1" applyFill="1" applyBorder="1" applyAlignment="1">
      <alignment horizontal="center"/>
    </xf>
    <xf numFmtId="0" fontId="151" fillId="79" borderId="70" xfId="1853" applyFont="1" applyFill="1" applyBorder="1" applyAlignment="1">
      <alignment horizontal="center"/>
    </xf>
    <xf numFmtId="0" fontId="151" fillId="79" borderId="71" xfId="1853" applyFont="1" applyFill="1" applyBorder="1" applyAlignment="1">
      <alignment horizontal="center"/>
    </xf>
    <xf numFmtId="0" fontId="151" fillId="80" borderId="72" xfId="1853" applyFont="1" applyFill="1" applyBorder="1" applyAlignment="1">
      <alignment horizontal="center"/>
    </xf>
    <xf numFmtId="0" fontId="153" fillId="80" borderId="18" xfId="1853" applyFont="1" applyFill="1" applyBorder="1" applyAlignment="1">
      <alignment horizontal="center"/>
    </xf>
    <xf numFmtId="0" fontId="153" fillId="80" borderId="21" xfId="1853" applyFont="1" applyFill="1" applyBorder="1" applyAlignment="1">
      <alignment horizontal="center"/>
    </xf>
    <xf numFmtId="0" fontId="151" fillId="79" borderId="76" xfId="1853" applyFont="1" applyFill="1" applyBorder="1" applyAlignment="1">
      <alignment horizontal="center"/>
    </xf>
    <xf numFmtId="0" fontId="151" fillId="80" borderId="75" xfId="1853" applyFont="1" applyFill="1" applyBorder="1" applyAlignment="1">
      <alignment horizontal="center"/>
    </xf>
    <xf numFmtId="0" fontId="150" fillId="79" borderId="66" xfId="1853" applyFont="1" applyFill="1" applyBorder="1" applyAlignment="1">
      <alignment wrapText="1"/>
    </xf>
    <xf numFmtId="0" fontId="150" fillId="79" borderId="72" xfId="1853" applyFont="1" applyFill="1" applyBorder="1" applyAlignment="1">
      <alignment wrapText="1"/>
    </xf>
    <xf numFmtId="0" fontId="150" fillId="79" borderId="75" xfId="1853" applyFont="1" applyFill="1" applyBorder="1" applyAlignment="1">
      <alignment wrapText="1"/>
    </xf>
  </cellXfs>
  <cellStyles count="1858">
    <cellStyle name="%" xfId="28" xr:uid="{00000000-0005-0000-0000-000000000000}"/>
    <cellStyle name="?? [0]_RESULTS" xfId="29" xr:uid="{00000000-0005-0000-0000-000001000000}"/>
    <cellStyle name="???[0]_RESULTS" xfId="30" xr:uid="{00000000-0005-0000-0000-000002000000}"/>
    <cellStyle name="???_RESULTS" xfId="31" xr:uid="{00000000-0005-0000-0000-000003000000}"/>
    <cellStyle name="??_RESULTS" xfId="32" xr:uid="{00000000-0005-0000-0000-000004000000}"/>
    <cellStyle name="_%(SignOnly)" xfId="33" xr:uid="{00000000-0005-0000-0000-000005000000}"/>
    <cellStyle name="_BSC Consol BS &amp; IS_0910" xfId="34" xr:uid="{00000000-0005-0000-0000-000006000000}"/>
    <cellStyle name="=C:\WINNT\SYSTEM32\COMMAND.COM" xfId="35" xr:uid="{00000000-0005-0000-0000-000007000000}"/>
    <cellStyle name="1" xfId="36" xr:uid="{00000000-0005-0000-0000-000008000000}"/>
    <cellStyle name="20% - Accent1 2" xfId="37" xr:uid="{00000000-0005-0000-0000-000009000000}"/>
    <cellStyle name="20% - Accent1 2 2" xfId="38" xr:uid="{00000000-0005-0000-0000-00000A000000}"/>
    <cellStyle name="20% - Accent1 2 2 2" xfId="39" xr:uid="{00000000-0005-0000-0000-00000B000000}"/>
    <cellStyle name="20% - Accent1 2 2 3" xfId="40" xr:uid="{00000000-0005-0000-0000-00000C000000}"/>
    <cellStyle name="20% - Accent1 2 2 4" xfId="41" xr:uid="{00000000-0005-0000-0000-00000D000000}"/>
    <cellStyle name="20% - Accent1 2 2 5" xfId="42" xr:uid="{00000000-0005-0000-0000-00000E000000}"/>
    <cellStyle name="20% - Accent1 2 3" xfId="43" xr:uid="{00000000-0005-0000-0000-00000F000000}"/>
    <cellStyle name="20% - Accent1 2 3 2" xfId="44" xr:uid="{00000000-0005-0000-0000-000010000000}"/>
    <cellStyle name="20% - Accent1 2 3 3" xfId="45" xr:uid="{00000000-0005-0000-0000-000011000000}"/>
    <cellStyle name="20% - Accent1 2 3 4" xfId="46" xr:uid="{00000000-0005-0000-0000-000012000000}"/>
    <cellStyle name="20% - Accent1 2 4" xfId="47" xr:uid="{00000000-0005-0000-0000-000013000000}"/>
    <cellStyle name="20% - Accent1 2 5" xfId="48" xr:uid="{00000000-0005-0000-0000-000014000000}"/>
    <cellStyle name="20% - Accent1 2 6" xfId="49" xr:uid="{00000000-0005-0000-0000-000015000000}"/>
    <cellStyle name="20% - Accent1 2 7" xfId="50" xr:uid="{00000000-0005-0000-0000-000016000000}"/>
    <cellStyle name="20% - Accent1 2 8" xfId="51" xr:uid="{00000000-0005-0000-0000-000017000000}"/>
    <cellStyle name="20% - Accent1 3" xfId="52" xr:uid="{00000000-0005-0000-0000-000018000000}"/>
    <cellStyle name="20% - Accent1 3 2" xfId="53" xr:uid="{00000000-0005-0000-0000-000019000000}"/>
    <cellStyle name="20% - Accent1 3 3" xfId="54" xr:uid="{00000000-0005-0000-0000-00001A000000}"/>
    <cellStyle name="20% - Accent1 3 4" xfId="55" xr:uid="{00000000-0005-0000-0000-00001B000000}"/>
    <cellStyle name="20% - Accent1 4" xfId="56" xr:uid="{00000000-0005-0000-0000-00001C000000}"/>
    <cellStyle name="20% - Accent1 4 2" xfId="57" xr:uid="{00000000-0005-0000-0000-00001D000000}"/>
    <cellStyle name="20% - Accent1 4 3" xfId="58" xr:uid="{00000000-0005-0000-0000-00001E000000}"/>
    <cellStyle name="20% - Accent1 5" xfId="59" xr:uid="{00000000-0005-0000-0000-00001F000000}"/>
    <cellStyle name="20% - Accent1 6" xfId="60" xr:uid="{00000000-0005-0000-0000-000020000000}"/>
    <cellStyle name="20% - Accent1 7" xfId="61" xr:uid="{00000000-0005-0000-0000-000021000000}"/>
    <cellStyle name="20% - Accent2 2" xfId="62" xr:uid="{00000000-0005-0000-0000-000022000000}"/>
    <cellStyle name="20% - Accent2 2 2" xfId="63" xr:uid="{00000000-0005-0000-0000-000023000000}"/>
    <cellStyle name="20% - Accent2 2 2 2" xfId="64" xr:uid="{00000000-0005-0000-0000-000024000000}"/>
    <cellStyle name="20% - Accent2 2 2 3" xfId="65" xr:uid="{00000000-0005-0000-0000-000025000000}"/>
    <cellStyle name="20% - Accent2 2 2 4" xfId="66" xr:uid="{00000000-0005-0000-0000-000026000000}"/>
    <cellStyle name="20% - Accent2 2 2 5" xfId="67" xr:uid="{00000000-0005-0000-0000-000027000000}"/>
    <cellStyle name="20% - Accent2 2 3" xfId="68" xr:uid="{00000000-0005-0000-0000-000028000000}"/>
    <cellStyle name="20% - Accent2 2 3 2" xfId="69" xr:uid="{00000000-0005-0000-0000-000029000000}"/>
    <cellStyle name="20% - Accent2 2 3 3" xfId="70" xr:uid="{00000000-0005-0000-0000-00002A000000}"/>
    <cellStyle name="20% - Accent2 2 3 4" xfId="71" xr:uid="{00000000-0005-0000-0000-00002B000000}"/>
    <cellStyle name="20% - Accent2 2 4" xfId="72" xr:uid="{00000000-0005-0000-0000-00002C000000}"/>
    <cellStyle name="20% - Accent2 2 5" xfId="73" xr:uid="{00000000-0005-0000-0000-00002D000000}"/>
    <cellStyle name="20% - Accent2 2 6" xfId="74" xr:uid="{00000000-0005-0000-0000-00002E000000}"/>
    <cellStyle name="20% - Accent2 2 7" xfId="75" xr:uid="{00000000-0005-0000-0000-00002F000000}"/>
    <cellStyle name="20% - Accent2 2 8" xfId="76" xr:uid="{00000000-0005-0000-0000-000030000000}"/>
    <cellStyle name="20% - Accent2 3" xfId="77" xr:uid="{00000000-0005-0000-0000-000031000000}"/>
    <cellStyle name="20% - Accent2 3 2" xfId="78" xr:uid="{00000000-0005-0000-0000-000032000000}"/>
    <cellStyle name="20% - Accent2 3 3" xfId="79" xr:uid="{00000000-0005-0000-0000-000033000000}"/>
    <cellStyle name="20% - Accent2 3 4" xfId="80" xr:uid="{00000000-0005-0000-0000-000034000000}"/>
    <cellStyle name="20% - Accent2 4" xfId="81" xr:uid="{00000000-0005-0000-0000-000035000000}"/>
    <cellStyle name="20% - Accent2 4 2" xfId="82" xr:uid="{00000000-0005-0000-0000-000036000000}"/>
    <cellStyle name="20% - Accent2 4 3" xfId="83" xr:uid="{00000000-0005-0000-0000-000037000000}"/>
    <cellStyle name="20% - Accent2 5" xfId="84" xr:uid="{00000000-0005-0000-0000-000038000000}"/>
    <cellStyle name="20% - Accent2 6" xfId="85" xr:uid="{00000000-0005-0000-0000-000039000000}"/>
    <cellStyle name="20% - Accent2 7" xfId="86" xr:uid="{00000000-0005-0000-0000-00003A000000}"/>
    <cellStyle name="20% - Accent3 2" xfId="87" xr:uid="{00000000-0005-0000-0000-00003B000000}"/>
    <cellStyle name="20% - Accent3 2 2" xfId="88" xr:uid="{00000000-0005-0000-0000-00003C000000}"/>
    <cellStyle name="20% - Accent3 2 2 2" xfId="89" xr:uid="{00000000-0005-0000-0000-00003D000000}"/>
    <cellStyle name="20% - Accent3 2 2 3" xfId="90" xr:uid="{00000000-0005-0000-0000-00003E000000}"/>
    <cellStyle name="20% - Accent3 2 2 4" xfId="91" xr:uid="{00000000-0005-0000-0000-00003F000000}"/>
    <cellStyle name="20% - Accent3 2 2 5" xfId="92" xr:uid="{00000000-0005-0000-0000-000040000000}"/>
    <cellStyle name="20% - Accent3 2 3" xfId="93" xr:uid="{00000000-0005-0000-0000-000041000000}"/>
    <cellStyle name="20% - Accent3 2 3 2" xfId="94" xr:uid="{00000000-0005-0000-0000-000042000000}"/>
    <cellStyle name="20% - Accent3 2 3 3" xfId="95" xr:uid="{00000000-0005-0000-0000-000043000000}"/>
    <cellStyle name="20% - Accent3 2 3 4" xfId="96" xr:uid="{00000000-0005-0000-0000-000044000000}"/>
    <cellStyle name="20% - Accent3 2 4" xfId="97" xr:uid="{00000000-0005-0000-0000-000045000000}"/>
    <cellStyle name="20% - Accent3 2 5" xfId="98" xr:uid="{00000000-0005-0000-0000-000046000000}"/>
    <cellStyle name="20% - Accent3 2 6" xfId="99" xr:uid="{00000000-0005-0000-0000-000047000000}"/>
    <cellStyle name="20% - Accent3 2 7" xfId="100" xr:uid="{00000000-0005-0000-0000-000048000000}"/>
    <cellStyle name="20% - Accent3 2 8" xfId="101" xr:uid="{00000000-0005-0000-0000-000049000000}"/>
    <cellStyle name="20% - Accent3 3" xfId="102" xr:uid="{00000000-0005-0000-0000-00004A000000}"/>
    <cellStyle name="20% - Accent3 3 2" xfId="103" xr:uid="{00000000-0005-0000-0000-00004B000000}"/>
    <cellStyle name="20% - Accent3 3 3" xfId="104" xr:uid="{00000000-0005-0000-0000-00004C000000}"/>
    <cellStyle name="20% - Accent3 3 4" xfId="105" xr:uid="{00000000-0005-0000-0000-00004D000000}"/>
    <cellStyle name="20% - Accent3 4" xfId="106" xr:uid="{00000000-0005-0000-0000-00004E000000}"/>
    <cellStyle name="20% - Accent3 4 2" xfId="107" xr:uid="{00000000-0005-0000-0000-00004F000000}"/>
    <cellStyle name="20% - Accent3 4 3" xfId="108" xr:uid="{00000000-0005-0000-0000-000050000000}"/>
    <cellStyle name="20% - Accent3 5" xfId="109" xr:uid="{00000000-0005-0000-0000-000051000000}"/>
    <cellStyle name="20% - Accent3 6" xfId="110" xr:uid="{00000000-0005-0000-0000-000052000000}"/>
    <cellStyle name="20% - Accent3 7" xfId="111" xr:uid="{00000000-0005-0000-0000-000053000000}"/>
    <cellStyle name="20% - Accent4 2" xfId="112" xr:uid="{00000000-0005-0000-0000-000054000000}"/>
    <cellStyle name="20% - Accent4 2 2" xfId="113" xr:uid="{00000000-0005-0000-0000-000055000000}"/>
    <cellStyle name="20% - Accent4 2 2 2" xfId="114" xr:uid="{00000000-0005-0000-0000-000056000000}"/>
    <cellStyle name="20% - Accent4 2 2 3" xfId="115" xr:uid="{00000000-0005-0000-0000-000057000000}"/>
    <cellStyle name="20% - Accent4 2 2 4" xfId="116" xr:uid="{00000000-0005-0000-0000-000058000000}"/>
    <cellStyle name="20% - Accent4 2 2 5" xfId="117" xr:uid="{00000000-0005-0000-0000-000059000000}"/>
    <cellStyle name="20% - Accent4 2 3" xfId="118" xr:uid="{00000000-0005-0000-0000-00005A000000}"/>
    <cellStyle name="20% - Accent4 2 3 2" xfId="119" xr:uid="{00000000-0005-0000-0000-00005B000000}"/>
    <cellStyle name="20% - Accent4 2 3 3" xfId="120" xr:uid="{00000000-0005-0000-0000-00005C000000}"/>
    <cellStyle name="20% - Accent4 2 3 4" xfId="121" xr:uid="{00000000-0005-0000-0000-00005D000000}"/>
    <cellStyle name="20% - Accent4 2 4" xfId="122" xr:uid="{00000000-0005-0000-0000-00005E000000}"/>
    <cellStyle name="20% - Accent4 2 5" xfId="123" xr:uid="{00000000-0005-0000-0000-00005F000000}"/>
    <cellStyle name="20% - Accent4 2 6" xfId="124" xr:uid="{00000000-0005-0000-0000-000060000000}"/>
    <cellStyle name="20% - Accent4 2 7" xfId="125" xr:uid="{00000000-0005-0000-0000-000061000000}"/>
    <cellStyle name="20% - Accent4 2 8" xfId="126" xr:uid="{00000000-0005-0000-0000-000062000000}"/>
    <cellStyle name="20% - Accent4 3" xfId="127" xr:uid="{00000000-0005-0000-0000-000063000000}"/>
    <cellStyle name="20% - Accent4 3 2" xfId="128" xr:uid="{00000000-0005-0000-0000-000064000000}"/>
    <cellStyle name="20% - Accent4 3 3" xfId="129" xr:uid="{00000000-0005-0000-0000-000065000000}"/>
    <cellStyle name="20% - Accent4 3 4" xfId="130" xr:uid="{00000000-0005-0000-0000-000066000000}"/>
    <cellStyle name="20% - Accent4 4" xfId="131" xr:uid="{00000000-0005-0000-0000-000067000000}"/>
    <cellStyle name="20% - Accent4 4 2" xfId="132" xr:uid="{00000000-0005-0000-0000-000068000000}"/>
    <cellStyle name="20% - Accent4 4 3" xfId="133" xr:uid="{00000000-0005-0000-0000-000069000000}"/>
    <cellStyle name="20% - Accent4 5" xfId="134" xr:uid="{00000000-0005-0000-0000-00006A000000}"/>
    <cellStyle name="20% - Accent4 6" xfId="135" xr:uid="{00000000-0005-0000-0000-00006B000000}"/>
    <cellStyle name="20% - Accent4 7" xfId="136" xr:uid="{00000000-0005-0000-0000-00006C000000}"/>
    <cellStyle name="20% - Accent5 2" xfId="137" xr:uid="{00000000-0005-0000-0000-00006D000000}"/>
    <cellStyle name="20% - Accent5 2 2" xfId="138" xr:uid="{00000000-0005-0000-0000-00006E000000}"/>
    <cellStyle name="20% - Accent5 2 2 2" xfId="139" xr:uid="{00000000-0005-0000-0000-00006F000000}"/>
    <cellStyle name="20% - Accent5 2 2 3" xfId="140" xr:uid="{00000000-0005-0000-0000-000070000000}"/>
    <cellStyle name="20% - Accent5 2 2 4" xfId="141" xr:uid="{00000000-0005-0000-0000-000071000000}"/>
    <cellStyle name="20% - Accent5 2 2 5" xfId="142" xr:uid="{00000000-0005-0000-0000-000072000000}"/>
    <cellStyle name="20% - Accent5 2 3" xfId="143" xr:uid="{00000000-0005-0000-0000-000073000000}"/>
    <cellStyle name="20% - Accent5 2 3 2" xfId="144" xr:uid="{00000000-0005-0000-0000-000074000000}"/>
    <cellStyle name="20% - Accent5 2 3 3" xfId="145" xr:uid="{00000000-0005-0000-0000-000075000000}"/>
    <cellStyle name="20% - Accent5 2 3 4" xfId="146" xr:uid="{00000000-0005-0000-0000-000076000000}"/>
    <cellStyle name="20% - Accent5 2 4" xfId="147" xr:uid="{00000000-0005-0000-0000-000077000000}"/>
    <cellStyle name="20% - Accent5 2 5" xfId="148" xr:uid="{00000000-0005-0000-0000-000078000000}"/>
    <cellStyle name="20% - Accent5 2 6" xfId="149" xr:uid="{00000000-0005-0000-0000-000079000000}"/>
    <cellStyle name="20% - Accent5 2 7" xfId="150" xr:uid="{00000000-0005-0000-0000-00007A000000}"/>
    <cellStyle name="20% - Accent5 2 8" xfId="151" xr:uid="{00000000-0005-0000-0000-00007B000000}"/>
    <cellStyle name="20% - Accent5 3" xfId="152" xr:uid="{00000000-0005-0000-0000-00007C000000}"/>
    <cellStyle name="20% - Accent5 3 2" xfId="153" xr:uid="{00000000-0005-0000-0000-00007D000000}"/>
    <cellStyle name="20% - Accent5 3 3" xfId="154" xr:uid="{00000000-0005-0000-0000-00007E000000}"/>
    <cellStyle name="20% - Accent5 3 4" xfId="155" xr:uid="{00000000-0005-0000-0000-00007F000000}"/>
    <cellStyle name="20% - Accent5 4" xfId="156" xr:uid="{00000000-0005-0000-0000-000080000000}"/>
    <cellStyle name="20% - Accent5 4 2" xfId="157" xr:uid="{00000000-0005-0000-0000-000081000000}"/>
    <cellStyle name="20% - Accent5 4 3" xfId="158" xr:uid="{00000000-0005-0000-0000-000082000000}"/>
    <cellStyle name="20% - Accent5 5" xfId="159" xr:uid="{00000000-0005-0000-0000-000083000000}"/>
    <cellStyle name="20% - Accent5 6" xfId="160" xr:uid="{00000000-0005-0000-0000-000084000000}"/>
    <cellStyle name="20% - Accent5 7" xfId="161" xr:uid="{00000000-0005-0000-0000-000085000000}"/>
    <cellStyle name="20% - Accent6 2" xfId="162" xr:uid="{00000000-0005-0000-0000-000086000000}"/>
    <cellStyle name="20% - Accent6 2 2" xfId="163" xr:uid="{00000000-0005-0000-0000-000087000000}"/>
    <cellStyle name="20% - Accent6 2 2 2" xfId="164" xr:uid="{00000000-0005-0000-0000-000088000000}"/>
    <cellStyle name="20% - Accent6 2 2 3" xfId="165" xr:uid="{00000000-0005-0000-0000-000089000000}"/>
    <cellStyle name="20% - Accent6 2 2 4" xfId="166" xr:uid="{00000000-0005-0000-0000-00008A000000}"/>
    <cellStyle name="20% - Accent6 2 2 5" xfId="167" xr:uid="{00000000-0005-0000-0000-00008B000000}"/>
    <cellStyle name="20% - Accent6 2 3" xfId="168" xr:uid="{00000000-0005-0000-0000-00008C000000}"/>
    <cellStyle name="20% - Accent6 2 3 2" xfId="169" xr:uid="{00000000-0005-0000-0000-00008D000000}"/>
    <cellStyle name="20% - Accent6 2 3 3" xfId="170" xr:uid="{00000000-0005-0000-0000-00008E000000}"/>
    <cellStyle name="20% - Accent6 2 3 4" xfId="171" xr:uid="{00000000-0005-0000-0000-00008F000000}"/>
    <cellStyle name="20% - Accent6 2 4" xfId="172" xr:uid="{00000000-0005-0000-0000-000090000000}"/>
    <cellStyle name="20% - Accent6 2 5" xfId="173" xr:uid="{00000000-0005-0000-0000-000091000000}"/>
    <cellStyle name="20% - Accent6 2 6" xfId="174" xr:uid="{00000000-0005-0000-0000-000092000000}"/>
    <cellStyle name="20% - Accent6 2 7" xfId="175" xr:uid="{00000000-0005-0000-0000-000093000000}"/>
    <cellStyle name="20% - Accent6 2 8" xfId="176" xr:uid="{00000000-0005-0000-0000-000094000000}"/>
    <cellStyle name="20% - Accent6 3" xfId="177" xr:uid="{00000000-0005-0000-0000-000095000000}"/>
    <cellStyle name="20% - Accent6 3 2" xfId="178" xr:uid="{00000000-0005-0000-0000-000096000000}"/>
    <cellStyle name="20% - Accent6 3 3" xfId="179" xr:uid="{00000000-0005-0000-0000-000097000000}"/>
    <cellStyle name="20% - Accent6 3 4" xfId="180" xr:uid="{00000000-0005-0000-0000-000098000000}"/>
    <cellStyle name="20% - Accent6 4" xfId="181" xr:uid="{00000000-0005-0000-0000-000099000000}"/>
    <cellStyle name="20% - Accent6 4 2" xfId="182" xr:uid="{00000000-0005-0000-0000-00009A000000}"/>
    <cellStyle name="20% - Accent6 4 3" xfId="183" xr:uid="{00000000-0005-0000-0000-00009B000000}"/>
    <cellStyle name="20% - Accent6 5" xfId="184" xr:uid="{00000000-0005-0000-0000-00009C000000}"/>
    <cellStyle name="20% - Accent6 6" xfId="185" xr:uid="{00000000-0005-0000-0000-00009D000000}"/>
    <cellStyle name="20% - Accent6 7" xfId="186" xr:uid="{00000000-0005-0000-0000-00009E000000}"/>
    <cellStyle name="20% - 輔色1" xfId="187" xr:uid="{00000000-0005-0000-0000-00009F000000}"/>
    <cellStyle name="20% - 輔色2" xfId="188" xr:uid="{00000000-0005-0000-0000-0000A0000000}"/>
    <cellStyle name="20% - 輔色3" xfId="189" xr:uid="{00000000-0005-0000-0000-0000A1000000}"/>
    <cellStyle name="20% - 輔色4" xfId="190" xr:uid="{00000000-0005-0000-0000-0000A2000000}"/>
    <cellStyle name="20% - 輔色5" xfId="191" xr:uid="{00000000-0005-0000-0000-0000A3000000}"/>
    <cellStyle name="20% - 輔色6" xfId="192" xr:uid="{00000000-0005-0000-0000-0000A4000000}"/>
    <cellStyle name="40% - Accent1 2" xfId="193" xr:uid="{00000000-0005-0000-0000-0000A5000000}"/>
    <cellStyle name="40% - Accent1 2 2" xfId="194" xr:uid="{00000000-0005-0000-0000-0000A6000000}"/>
    <cellStyle name="40% - Accent1 2 2 2" xfId="195" xr:uid="{00000000-0005-0000-0000-0000A7000000}"/>
    <cellStyle name="40% - Accent1 2 2 3" xfId="196" xr:uid="{00000000-0005-0000-0000-0000A8000000}"/>
    <cellStyle name="40% - Accent1 2 2 4" xfId="197" xr:uid="{00000000-0005-0000-0000-0000A9000000}"/>
    <cellStyle name="40% - Accent1 2 2 5" xfId="198" xr:uid="{00000000-0005-0000-0000-0000AA000000}"/>
    <cellStyle name="40% - Accent1 2 3" xfId="199" xr:uid="{00000000-0005-0000-0000-0000AB000000}"/>
    <cellStyle name="40% - Accent1 2 3 2" xfId="200" xr:uid="{00000000-0005-0000-0000-0000AC000000}"/>
    <cellStyle name="40% - Accent1 2 3 3" xfId="201" xr:uid="{00000000-0005-0000-0000-0000AD000000}"/>
    <cellStyle name="40% - Accent1 2 3 4" xfId="202" xr:uid="{00000000-0005-0000-0000-0000AE000000}"/>
    <cellStyle name="40% - Accent1 2 4" xfId="203" xr:uid="{00000000-0005-0000-0000-0000AF000000}"/>
    <cellStyle name="40% - Accent1 2 5" xfId="204" xr:uid="{00000000-0005-0000-0000-0000B0000000}"/>
    <cellStyle name="40% - Accent1 2 6" xfId="205" xr:uid="{00000000-0005-0000-0000-0000B1000000}"/>
    <cellStyle name="40% - Accent1 2 7" xfId="206" xr:uid="{00000000-0005-0000-0000-0000B2000000}"/>
    <cellStyle name="40% - Accent1 2 8" xfId="207" xr:uid="{00000000-0005-0000-0000-0000B3000000}"/>
    <cellStyle name="40% - Accent1 3" xfId="208" xr:uid="{00000000-0005-0000-0000-0000B4000000}"/>
    <cellStyle name="40% - Accent1 3 2" xfId="209" xr:uid="{00000000-0005-0000-0000-0000B5000000}"/>
    <cellStyle name="40% - Accent1 3 3" xfId="210" xr:uid="{00000000-0005-0000-0000-0000B6000000}"/>
    <cellStyle name="40% - Accent1 3 4" xfId="211" xr:uid="{00000000-0005-0000-0000-0000B7000000}"/>
    <cellStyle name="40% - Accent1 4" xfId="212" xr:uid="{00000000-0005-0000-0000-0000B8000000}"/>
    <cellStyle name="40% - Accent1 4 2" xfId="213" xr:uid="{00000000-0005-0000-0000-0000B9000000}"/>
    <cellStyle name="40% - Accent1 4 3" xfId="214" xr:uid="{00000000-0005-0000-0000-0000BA000000}"/>
    <cellStyle name="40% - Accent1 5" xfId="215" xr:uid="{00000000-0005-0000-0000-0000BB000000}"/>
    <cellStyle name="40% - Accent1 6" xfId="216" xr:uid="{00000000-0005-0000-0000-0000BC000000}"/>
    <cellStyle name="40% - Accent1 7" xfId="217" xr:uid="{00000000-0005-0000-0000-0000BD000000}"/>
    <cellStyle name="40% - Accent2 2" xfId="218" xr:uid="{00000000-0005-0000-0000-0000BE000000}"/>
    <cellStyle name="40% - Accent2 2 2" xfId="219" xr:uid="{00000000-0005-0000-0000-0000BF000000}"/>
    <cellStyle name="40% - Accent2 2 2 2" xfId="220" xr:uid="{00000000-0005-0000-0000-0000C0000000}"/>
    <cellStyle name="40% - Accent2 2 2 3" xfId="221" xr:uid="{00000000-0005-0000-0000-0000C1000000}"/>
    <cellStyle name="40% - Accent2 2 2 4" xfId="222" xr:uid="{00000000-0005-0000-0000-0000C2000000}"/>
    <cellStyle name="40% - Accent2 2 2 5" xfId="223" xr:uid="{00000000-0005-0000-0000-0000C3000000}"/>
    <cellStyle name="40% - Accent2 2 3" xfId="224" xr:uid="{00000000-0005-0000-0000-0000C4000000}"/>
    <cellStyle name="40% - Accent2 2 3 2" xfId="225" xr:uid="{00000000-0005-0000-0000-0000C5000000}"/>
    <cellStyle name="40% - Accent2 2 3 3" xfId="226" xr:uid="{00000000-0005-0000-0000-0000C6000000}"/>
    <cellStyle name="40% - Accent2 2 3 4" xfId="227" xr:uid="{00000000-0005-0000-0000-0000C7000000}"/>
    <cellStyle name="40% - Accent2 2 4" xfId="228" xr:uid="{00000000-0005-0000-0000-0000C8000000}"/>
    <cellStyle name="40% - Accent2 2 5" xfId="229" xr:uid="{00000000-0005-0000-0000-0000C9000000}"/>
    <cellStyle name="40% - Accent2 2 6" xfId="230" xr:uid="{00000000-0005-0000-0000-0000CA000000}"/>
    <cellStyle name="40% - Accent2 2 7" xfId="231" xr:uid="{00000000-0005-0000-0000-0000CB000000}"/>
    <cellStyle name="40% - Accent2 2 8" xfId="232" xr:uid="{00000000-0005-0000-0000-0000CC000000}"/>
    <cellStyle name="40% - Accent2 3" xfId="233" xr:uid="{00000000-0005-0000-0000-0000CD000000}"/>
    <cellStyle name="40% - Accent2 3 2" xfId="234" xr:uid="{00000000-0005-0000-0000-0000CE000000}"/>
    <cellStyle name="40% - Accent2 3 3" xfId="235" xr:uid="{00000000-0005-0000-0000-0000CF000000}"/>
    <cellStyle name="40% - Accent2 3 4" xfId="236" xr:uid="{00000000-0005-0000-0000-0000D0000000}"/>
    <cellStyle name="40% - Accent2 4" xfId="237" xr:uid="{00000000-0005-0000-0000-0000D1000000}"/>
    <cellStyle name="40% - Accent2 4 2" xfId="238" xr:uid="{00000000-0005-0000-0000-0000D2000000}"/>
    <cellStyle name="40% - Accent2 4 3" xfId="239" xr:uid="{00000000-0005-0000-0000-0000D3000000}"/>
    <cellStyle name="40% - Accent2 5" xfId="240" xr:uid="{00000000-0005-0000-0000-0000D4000000}"/>
    <cellStyle name="40% - Accent2 6" xfId="241" xr:uid="{00000000-0005-0000-0000-0000D5000000}"/>
    <cellStyle name="40% - Accent2 7" xfId="242" xr:uid="{00000000-0005-0000-0000-0000D6000000}"/>
    <cellStyle name="40% - Accent3 2" xfId="243" xr:uid="{00000000-0005-0000-0000-0000D7000000}"/>
    <cellStyle name="40% - Accent3 2 2" xfId="244" xr:uid="{00000000-0005-0000-0000-0000D8000000}"/>
    <cellStyle name="40% - Accent3 2 2 2" xfId="245" xr:uid="{00000000-0005-0000-0000-0000D9000000}"/>
    <cellStyle name="40% - Accent3 2 2 3" xfId="246" xr:uid="{00000000-0005-0000-0000-0000DA000000}"/>
    <cellStyle name="40% - Accent3 2 2 4" xfId="247" xr:uid="{00000000-0005-0000-0000-0000DB000000}"/>
    <cellStyle name="40% - Accent3 2 2 5" xfId="248" xr:uid="{00000000-0005-0000-0000-0000DC000000}"/>
    <cellStyle name="40% - Accent3 2 3" xfId="249" xr:uid="{00000000-0005-0000-0000-0000DD000000}"/>
    <cellStyle name="40% - Accent3 2 3 2" xfId="250" xr:uid="{00000000-0005-0000-0000-0000DE000000}"/>
    <cellStyle name="40% - Accent3 2 3 3" xfId="251" xr:uid="{00000000-0005-0000-0000-0000DF000000}"/>
    <cellStyle name="40% - Accent3 2 3 4" xfId="252" xr:uid="{00000000-0005-0000-0000-0000E0000000}"/>
    <cellStyle name="40% - Accent3 2 4" xfId="253" xr:uid="{00000000-0005-0000-0000-0000E1000000}"/>
    <cellStyle name="40% - Accent3 2 5" xfId="254" xr:uid="{00000000-0005-0000-0000-0000E2000000}"/>
    <cellStyle name="40% - Accent3 2 6" xfId="255" xr:uid="{00000000-0005-0000-0000-0000E3000000}"/>
    <cellStyle name="40% - Accent3 2 7" xfId="256" xr:uid="{00000000-0005-0000-0000-0000E4000000}"/>
    <cellStyle name="40% - Accent3 2 8" xfId="257" xr:uid="{00000000-0005-0000-0000-0000E5000000}"/>
    <cellStyle name="40% - Accent3 3" xfId="258" xr:uid="{00000000-0005-0000-0000-0000E6000000}"/>
    <cellStyle name="40% - Accent3 3 2" xfId="259" xr:uid="{00000000-0005-0000-0000-0000E7000000}"/>
    <cellStyle name="40% - Accent3 3 3" xfId="260" xr:uid="{00000000-0005-0000-0000-0000E8000000}"/>
    <cellStyle name="40% - Accent3 3 4" xfId="261" xr:uid="{00000000-0005-0000-0000-0000E9000000}"/>
    <cellStyle name="40% - Accent3 4" xfId="262" xr:uid="{00000000-0005-0000-0000-0000EA000000}"/>
    <cellStyle name="40% - Accent3 4 2" xfId="263" xr:uid="{00000000-0005-0000-0000-0000EB000000}"/>
    <cellStyle name="40% - Accent3 4 3" xfId="264" xr:uid="{00000000-0005-0000-0000-0000EC000000}"/>
    <cellStyle name="40% - Accent3 5" xfId="265" xr:uid="{00000000-0005-0000-0000-0000ED000000}"/>
    <cellStyle name="40% - Accent3 6" xfId="266" xr:uid="{00000000-0005-0000-0000-0000EE000000}"/>
    <cellStyle name="40% - Accent3 7" xfId="267" xr:uid="{00000000-0005-0000-0000-0000EF000000}"/>
    <cellStyle name="40% - Accent4 2" xfId="268" xr:uid="{00000000-0005-0000-0000-0000F0000000}"/>
    <cellStyle name="40% - Accent4 2 2" xfId="269" xr:uid="{00000000-0005-0000-0000-0000F1000000}"/>
    <cellStyle name="40% - Accent4 2 2 2" xfId="270" xr:uid="{00000000-0005-0000-0000-0000F2000000}"/>
    <cellStyle name="40% - Accent4 2 2 3" xfId="271" xr:uid="{00000000-0005-0000-0000-0000F3000000}"/>
    <cellStyle name="40% - Accent4 2 2 4" xfId="272" xr:uid="{00000000-0005-0000-0000-0000F4000000}"/>
    <cellStyle name="40% - Accent4 2 2 5" xfId="273" xr:uid="{00000000-0005-0000-0000-0000F5000000}"/>
    <cellStyle name="40% - Accent4 2 3" xfId="274" xr:uid="{00000000-0005-0000-0000-0000F6000000}"/>
    <cellStyle name="40% - Accent4 2 3 2" xfId="275" xr:uid="{00000000-0005-0000-0000-0000F7000000}"/>
    <cellStyle name="40% - Accent4 2 3 3" xfId="276" xr:uid="{00000000-0005-0000-0000-0000F8000000}"/>
    <cellStyle name="40% - Accent4 2 3 4" xfId="277" xr:uid="{00000000-0005-0000-0000-0000F9000000}"/>
    <cellStyle name="40% - Accent4 2 4" xfId="278" xr:uid="{00000000-0005-0000-0000-0000FA000000}"/>
    <cellStyle name="40% - Accent4 2 5" xfId="279" xr:uid="{00000000-0005-0000-0000-0000FB000000}"/>
    <cellStyle name="40% - Accent4 2 6" xfId="280" xr:uid="{00000000-0005-0000-0000-0000FC000000}"/>
    <cellStyle name="40% - Accent4 2 7" xfId="281" xr:uid="{00000000-0005-0000-0000-0000FD000000}"/>
    <cellStyle name="40% - Accent4 2 8" xfId="282" xr:uid="{00000000-0005-0000-0000-0000FE000000}"/>
    <cellStyle name="40% - Accent4 3" xfId="283" xr:uid="{00000000-0005-0000-0000-0000FF000000}"/>
    <cellStyle name="40% - Accent4 3 2" xfId="284" xr:uid="{00000000-0005-0000-0000-000000010000}"/>
    <cellStyle name="40% - Accent4 3 3" xfId="285" xr:uid="{00000000-0005-0000-0000-000001010000}"/>
    <cellStyle name="40% - Accent4 3 4" xfId="286" xr:uid="{00000000-0005-0000-0000-000002010000}"/>
    <cellStyle name="40% - Accent4 4" xfId="287" xr:uid="{00000000-0005-0000-0000-000003010000}"/>
    <cellStyle name="40% - Accent4 4 2" xfId="288" xr:uid="{00000000-0005-0000-0000-000004010000}"/>
    <cellStyle name="40% - Accent4 4 3" xfId="289" xr:uid="{00000000-0005-0000-0000-000005010000}"/>
    <cellStyle name="40% - Accent4 5" xfId="290" xr:uid="{00000000-0005-0000-0000-000006010000}"/>
    <cellStyle name="40% - Accent4 6" xfId="291" xr:uid="{00000000-0005-0000-0000-000007010000}"/>
    <cellStyle name="40% - Accent4 7" xfId="292" xr:uid="{00000000-0005-0000-0000-000008010000}"/>
    <cellStyle name="40% - Accent5 2" xfId="293" xr:uid="{00000000-0005-0000-0000-000009010000}"/>
    <cellStyle name="40% - Accent5 2 2" xfId="294" xr:uid="{00000000-0005-0000-0000-00000A010000}"/>
    <cellStyle name="40% - Accent5 2 2 2" xfId="295" xr:uid="{00000000-0005-0000-0000-00000B010000}"/>
    <cellStyle name="40% - Accent5 2 2 3" xfId="296" xr:uid="{00000000-0005-0000-0000-00000C010000}"/>
    <cellStyle name="40% - Accent5 2 2 4" xfId="297" xr:uid="{00000000-0005-0000-0000-00000D010000}"/>
    <cellStyle name="40% - Accent5 2 2 5" xfId="298" xr:uid="{00000000-0005-0000-0000-00000E010000}"/>
    <cellStyle name="40% - Accent5 2 3" xfId="299" xr:uid="{00000000-0005-0000-0000-00000F010000}"/>
    <cellStyle name="40% - Accent5 2 3 2" xfId="300" xr:uid="{00000000-0005-0000-0000-000010010000}"/>
    <cellStyle name="40% - Accent5 2 3 3" xfId="301" xr:uid="{00000000-0005-0000-0000-000011010000}"/>
    <cellStyle name="40% - Accent5 2 3 4" xfId="302" xr:uid="{00000000-0005-0000-0000-000012010000}"/>
    <cellStyle name="40% - Accent5 2 4" xfId="303" xr:uid="{00000000-0005-0000-0000-000013010000}"/>
    <cellStyle name="40% - Accent5 2 5" xfId="304" xr:uid="{00000000-0005-0000-0000-000014010000}"/>
    <cellStyle name="40% - Accent5 2 6" xfId="305" xr:uid="{00000000-0005-0000-0000-000015010000}"/>
    <cellStyle name="40% - Accent5 2 7" xfId="306" xr:uid="{00000000-0005-0000-0000-000016010000}"/>
    <cellStyle name="40% - Accent5 2 8" xfId="307" xr:uid="{00000000-0005-0000-0000-000017010000}"/>
    <cellStyle name="40% - Accent5 3" xfId="308" xr:uid="{00000000-0005-0000-0000-000018010000}"/>
    <cellStyle name="40% - Accent5 3 2" xfId="309" xr:uid="{00000000-0005-0000-0000-000019010000}"/>
    <cellStyle name="40% - Accent5 3 3" xfId="310" xr:uid="{00000000-0005-0000-0000-00001A010000}"/>
    <cellStyle name="40% - Accent5 3 4" xfId="311" xr:uid="{00000000-0005-0000-0000-00001B010000}"/>
    <cellStyle name="40% - Accent5 4" xfId="312" xr:uid="{00000000-0005-0000-0000-00001C010000}"/>
    <cellStyle name="40% - Accent5 4 2" xfId="313" xr:uid="{00000000-0005-0000-0000-00001D010000}"/>
    <cellStyle name="40% - Accent5 4 3" xfId="314" xr:uid="{00000000-0005-0000-0000-00001E010000}"/>
    <cellStyle name="40% - Accent5 5" xfId="315" xr:uid="{00000000-0005-0000-0000-00001F010000}"/>
    <cellStyle name="40% - Accent5 6" xfId="316" xr:uid="{00000000-0005-0000-0000-000020010000}"/>
    <cellStyle name="40% - Accent5 7" xfId="317" xr:uid="{00000000-0005-0000-0000-000021010000}"/>
    <cellStyle name="40% - Accent6 2" xfId="318" xr:uid="{00000000-0005-0000-0000-000022010000}"/>
    <cellStyle name="40% - Accent6 2 2" xfId="319" xr:uid="{00000000-0005-0000-0000-000023010000}"/>
    <cellStyle name="40% - Accent6 2 2 2" xfId="320" xr:uid="{00000000-0005-0000-0000-000024010000}"/>
    <cellStyle name="40% - Accent6 2 2 3" xfId="321" xr:uid="{00000000-0005-0000-0000-000025010000}"/>
    <cellStyle name="40% - Accent6 2 2 4" xfId="322" xr:uid="{00000000-0005-0000-0000-000026010000}"/>
    <cellStyle name="40% - Accent6 2 2 5" xfId="323" xr:uid="{00000000-0005-0000-0000-000027010000}"/>
    <cellStyle name="40% - Accent6 2 3" xfId="324" xr:uid="{00000000-0005-0000-0000-000028010000}"/>
    <cellStyle name="40% - Accent6 2 3 2" xfId="325" xr:uid="{00000000-0005-0000-0000-000029010000}"/>
    <cellStyle name="40% - Accent6 2 3 3" xfId="326" xr:uid="{00000000-0005-0000-0000-00002A010000}"/>
    <cellStyle name="40% - Accent6 2 3 4" xfId="327" xr:uid="{00000000-0005-0000-0000-00002B010000}"/>
    <cellStyle name="40% - Accent6 2 4" xfId="328" xr:uid="{00000000-0005-0000-0000-00002C010000}"/>
    <cellStyle name="40% - Accent6 2 5" xfId="329" xr:uid="{00000000-0005-0000-0000-00002D010000}"/>
    <cellStyle name="40% - Accent6 2 6" xfId="330" xr:uid="{00000000-0005-0000-0000-00002E010000}"/>
    <cellStyle name="40% - Accent6 2 7" xfId="331" xr:uid="{00000000-0005-0000-0000-00002F010000}"/>
    <cellStyle name="40% - Accent6 2 8" xfId="332" xr:uid="{00000000-0005-0000-0000-000030010000}"/>
    <cellStyle name="40% - Accent6 3" xfId="333" xr:uid="{00000000-0005-0000-0000-000031010000}"/>
    <cellStyle name="40% - Accent6 3 2" xfId="334" xr:uid="{00000000-0005-0000-0000-000032010000}"/>
    <cellStyle name="40% - Accent6 3 3" xfId="335" xr:uid="{00000000-0005-0000-0000-000033010000}"/>
    <cellStyle name="40% - Accent6 3 4" xfId="336" xr:uid="{00000000-0005-0000-0000-000034010000}"/>
    <cellStyle name="40% - Accent6 4" xfId="337" xr:uid="{00000000-0005-0000-0000-000035010000}"/>
    <cellStyle name="40% - Accent6 4 2" xfId="338" xr:uid="{00000000-0005-0000-0000-000036010000}"/>
    <cellStyle name="40% - Accent6 4 3" xfId="339" xr:uid="{00000000-0005-0000-0000-000037010000}"/>
    <cellStyle name="40% - Accent6 5" xfId="340" xr:uid="{00000000-0005-0000-0000-000038010000}"/>
    <cellStyle name="40% - Accent6 6" xfId="341" xr:uid="{00000000-0005-0000-0000-000039010000}"/>
    <cellStyle name="40% - Accent6 7" xfId="342" xr:uid="{00000000-0005-0000-0000-00003A010000}"/>
    <cellStyle name="40% - 輔色1" xfId="343" xr:uid="{00000000-0005-0000-0000-00003B010000}"/>
    <cellStyle name="40% - 輔色2" xfId="344" xr:uid="{00000000-0005-0000-0000-00003C010000}"/>
    <cellStyle name="40% - 輔色3" xfId="345" xr:uid="{00000000-0005-0000-0000-00003D010000}"/>
    <cellStyle name="40% - 輔色4" xfId="346" xr:uid="{00000000-0005-0000-0000-00003E010000}"/>
    <cellStyle name="40% - 輔色5" xfId="347" xr:uid="{00000000-0005-0000-0000-00003F010000}"/>
    <cellStyle name="40% - 輔色6" xfId="348" xr:uid="{00000000-0005-0000-0000-000040010000}"/>
    <cellStyle name="60% - Accent1 2" xfId="349" xr:uid="{00000000-0005-0000-0000-000041010000}"/>
    <cellStyle name="60% - Accent1 2 2" xfId="350" xr:uid="{00000000-0005-0000-0000-000042010000}"/>
    <cellStyle name="60% - Accent1 2 3" xfId="351" xr:uid="{00000000-0005-0000-0000-000043010000}"/>
    <cellStyle name="60% - Accent1 2 4" xfId="352" xr:uid="{00000000-0005-0000-0000-000044010000}"/>
    <cellStyle name="60% - Accent1 2 5" xfId="353" xr:uid="{00000000-0005-0000-0000-000045010000}"/>
    <cellStyle name="60% - Accent1 3" xfId="354" xr:uid="{00000000-0005-0000-0000-000046010000}"/>
    <cellStyle name="60% - Accent1 3 2" xfId="355" xr:uid="{00000000-0005-0000-0000-000047010000}"/>
    <cellStyle name="60% - Accent2 2" xfId="356" xr:uid="{00000000-0005-0000-0000-000048010000}"/>
    <cellStyle name="60% - Accent2 2 2" xfId="357" xr:uid="{00000000-0005-0000-0000-000049010000}"/>
    <cellStyle name="60% - Accent2 2 3" xfId="358" xr:uid="{00000000-0005-0000-0000-00004A010000}"/>
    <cellStyle name="60% - Accent2 2 4" xfId="359" xr:uid="{00000000-0005-0000-0000-00004B010000}"/>
    <cellStyle name="60% - Accent2 2 5" xfId="360" xr:uid="{00000000-0005-0000-0000-00004C010000}"/>
    <cellStyle name="60% - Accent2 3" xfId="361" xr:uid="{00000000-0005-0000-0000-00004D010000}"/>
    <cellStyle name="60% - Accent2 3 2" xfId="362" xr:uid="{00000000-0005-0000-0000-00004E010000}"/>
    <cellStyle name="60% - Accent3 2" xfId="363" xr:uid="{00000000-0005-0000-0000-00004F010000}"/>
    <cellStyle name="60% - Accent3 2 2" xfId="364" xr:uid="{00000000-0005-0000-0000-000050010000}"/>
    <cellStyle name="60% - Accent3 2 3" xfId="365" xr:uid="{00000000-0005-0000-0000-000051010000}"/>
    <cellStyle name="60% - Accent3 2 4" xfId="366" xr:uid="{00000000-0005-0000-0000-000052010000}"/>
    <cellStyle name="60% - Accent3 2 5" xfId="367" xr:uid="{00000000-0005-0000-0000-000053010000}"/>
    <cellStyle name="60% - Accent3 3" xfId="368" xr:uid="{00000000-0005-0000-0000-000054010000}"/>
    <cellStyle name="60% - Accent3 3 2" xfId="369" xr:uid="{00000000-0005-0000-0000-000055010000}"/>
    <cellStyle name="60% - Accent4 2" xfId="370" xr:uid="{00000000-0005-0000-0000-000056010000}"/>
    <cellStyle name="60% - Accent4 2 2" xfId="371" xr:uid="{00000000-0005-0000-0000-000057010000}"/>
    <cellStyle name="60% - Accent4 2 3" xfId="372" xr:uid="{00000000-0005-0000-0000-000058010000}"/>
    <cellStyle name="60% - Accent4 2 4" xfId="373" xr:uid="{00000000-0005-0000-0000-000059010000}"/>
    <cellStyle name="60% - Accent4 2 5" xfId="374" xr:uid="{00000000-0005-0000-0000-00005A010000}"/>
    <cellStyle name="60% - Accent4 3" xfId="375" xr:uid="{00000000-0005-0000-0000-00005B010000}"/>
    <cellStyle name="60% - Accent4 3 2" xfId="376" xr:uid="{00000000-0005-0000-0000-00005C010000}"/>
    <cellStyle name="60% - Accent5 2" xfId="377" xr:uid="{00000000-0005-0000-0000-00005D010000}"/>
    <cellStyle name="60% - Accent5 2 2" xfId="378" xr:uid="{00000000-0005-0000-0000-00005E010000}"/>
    <cellStyle name="60% - Accent5 2 3" xfId="379" xr:uid="{00000000-0005-0000-0000-00005F010000}"/>
    <cellStyle name="60% - Accent5 2 4" xfId="380" xr:uid="{00000000-0005-0000-0000-000060010000}"/>
    <cellStyle name="60% - Accent5 2 5" xfId="381" xr:uid="{00000000-0005-0000-0000-000061010000}"/>
    <cellStyle name="60% - Accent5 3" xfId="382" xr:uid="{00000000-0005-0000-0000-000062010000}"/>
    <cellStyle name="60% - Accent5 3 2" xfId="383" xr:uid="{00000000-0005-0000-0000-000063010000}"/>
    <cellStyle name="60% - Accent6 2" xfId="384" xr:uid="{00000000-0005-0000-0000-000064010000}"/>
    <cellStyle name="60% - Accent6 2 2" xfId="385" xr:uid="{00000000-0005-0000-0000-000065010000}"/>
    <cellStyle name="60% - Accent6 2 3" xfId="386" xr:uid="{00000000-0005-0000-0000-000066010000}"/>
    <cellStyle name="60% - Accent6 2 4" xfId="387" xr:uid="{00000000-0005-0000-0000-000067010000}"/>
    <cellStyle name="60% - Accent6 2 5" xfId="388" xr:uid="{00000000-0005-0000-0000-000068010000}"/>
    <cellStyle name="60% - Accent6 3" xfId="389" xr:uid="{00000000-0005-0000-0000-000069010000}"/>
    <cellStyle name="60% - Accent6 3 2" xfId="390" xr:uid="{00000000-0005-0000-0000-00006A010000}"/>
    <cellStyle name="60% - 輔色1" xfId="391" xr:uid="{00000000-0005-0000-0000-00006B010000}"/>
    <cellStyle name="60% - 輔色2" xfId="392" xr:uid="{00000000-0005-0000-0000-00006C010000}"/>
    <cellStyle name="60% - 輔色3" xfId="393" xr:uid="{00000000-0005-0000-0000-00006D010000}"/>
    <cellStyle name="60% - 輔色4" xfId="394" xr:uid="{00000000-0005-0000-0000-00006E010000}"/>
    <cellStyle name="60% - 輔色5" xfId="395" xr:uid="{00000000-0005-0000-0000-00006F010000}"/>
    <cellStyle name="60% - 輔色6" xfId="396" xr:uid="{00000000-0005-0000-0000-000070010000}"/>
    <cellStyle name="Accent1 2" xfId="397" xr:uid="{00000000-0005-0000-0000-000071010000}"/>
    <cellStyle name="Accent1 2 2" xfId="398" xr:uid="{00000000-0005-0000-0000-000072010000}"/>
    <cellStyle name="Accent1 2 3" xfId="399" xr:uid="{00000000-0005-0000-0000-000073010000}"/>
    <cellStyle name="Accent1 2 4" xfId="400" xr:uid="{00000000-0005-0000-0000-000074010000}"/>
    <cellStyle name="Accent1 2 5" xfId="401" xr:uid="{00000000-0005-0000-0000-000075010000}"/>
    <cellStyle name="Accent1 3" xfId="402" xr:uid="{00000000-0005-0000-0000-000076010000}"/>
    <cellStyle name="Accent1 3 2" xfId="403" xr:uid="{00000000-0005-0000-0000-000077010000}"/>
    <cellStyle name="Accent2 2" xfId="404" xr:uid="{00000000-0005-0000-0000-000078010000}"/>
    <cellStyle name="Accent2 2 2" xfId="405" xr:uid="{00000000-0005-0000-0000-000079010000}"/>
    <cellStyle name="Accent2 2 3" xfId="406" xr:uid="{00000000-0005-0000-0000-00007A010000}"/>
    <cellStyle name="Accent2 2 4" xfId="407" xr:uid="{00000000-0005-0000-0000-00007B010000}"/>
    <cellStyle name="Accent2 2 5" xfId="408" xr:uid="{00000000-0005-0000-0000-00007C010000}"/>
    <cellStyle name="Accent2 3" xfId="409" xr:uid="{00000000-0005-0000-0000-00007D010000}"/>
    <cellStyle name="Accent2 3 2" xfId="410" xr:uid="{00000000-0005-0000-0000-00007E010000}"/>
    <cellStyle name="Accent3 2" xfId="411" xr:uid="{00000000-0005-0000-0000-00007F010000}"/>
    <cellStyle name="Accent3 2 2" xfId="412" xr:uid="{00000000-0005-0000-0000-000080010000}"/>
    <cellStyle name="Accent3 2 3" xfId="413" xr:uid="{00000000-0005-0000-0000-000081010000}"/>
    <cellStyle name="Accent3 2 4" xfId="414" xr:uid="{00000000-0005-0000-0000-000082010000}"/>
    <cellStyle name="Accent3 2 5" xfId="415" xr:uid="{00000000-0005-0000-0000-000083010000}"/>
    <cellStyle name="Accent3 3" xfId="416" xr:uid="{00000000-0005-0000-0000-000084010000}"/>
    <cellStyle name="Accent3 3 2" xfId="417" xr:uid="{00000000-0005-0000-0000-000085010000}"/>
    <cellStyle name="Accent4 2" xfId="418" xr:uid="{00000000-0005-0000-0000-000086010000}"/>
    <cellStyle name="Accent4 2 2" xfId="419" xr:uid="{00000000-0005-0000-0000-000087010000}"/>
    <cellStyle name="Accent4 2 3" xfId="420" xr:uid="{00000000-0005-0000-0000-000088010000}"/>
    <cellStyle name="Accent4 2 4" xfId="421" xr:uid="{00000000-0005-0000-0000-000089010000}"/>
    <cellStyle name="Accent4 2 5" xfId="422" xr:uid="{00000000-0005-0000-0000-00008A010000}"/>
    <cellStyle name="Accent4 3" xfId="423" xr:uid="{00000000-0005-0000-0000-00008B010000}"/>
    <cellStyle name="Accent4 3 2" xfId="424" xr:uid="{00000000-0005-0000-0000-00008C010000}"/>
    <cellStyle name="Accent5 2" xfId="425" xr:uid="{00000000-0005-0000-0000-00008D010000}"/>
    <cellStyle name="Accent5 2 2" xfId="426" xr:uid="{00000000-0005-0000-0000-00008E010000}"/>
    <cellStyle name="Accent5 2 3" xfId="427" xr:uid="{00000000-0005-0000-0000-00008F010000}"/>
    <cellStyle name="Accent5 2 4" xfId="428" xr:uid="{00000000-0005-0000-0000-000090010000}"/>
    <cellStyle name="Accent5 2 5" xfId="429" xr:uid="{00000000-0005-0000-0000-000091010000}"/>
    <cellStyle name="Accent5 3" xfId="430" xr:uid="{00000000-0005-0000-0000-000092010000}"/>
    <cellStyle name="Accent5 3 2" xfId="431" xr:uid="{00000000-0005-0000-0000-000093010000}"/>
    <cellStyle name="Accent6 2" xfId="432" xr:uid="{00000000-0005-0000-0000-000094010000}"/>
    <cellStyle name="Accent6 2 2" xfId="433" xr:uid="{00000000-0005-0000-0000-000095010000}"/>
    <cellStyle name="Accent6 2 3" xfId="434" xr:uid="{00000000-0005-0000-0000-000096010000}"/>
    <cellStyle name="Accent6 2 4" xfId="435" xr:uid="{00000000-0005-0000-0000-000097010000}"/>
    <cellStyle name="Accent6 2 5" xfId="436" xr:uid="{00000000-0005-0000-0000-000098010000}"/>
    <cellStyle name="Accent6 3" xfId="437" xr:uid="{00000000-0005-0000-0000-000099010000}"/>
    <cellStyle name="Accent6 3 2" xfId="438" xr:uid="{00000000-0005-0000-0000-00009A010000}"/>
    <cellStyle name="Addl Dim 1 Rollup" xfId="439" xr:uid="{00000000-0005-0000-0000-00009B010000}"/>
    <cellStyle name="Addl Dim 1 Rollup$ZP$" xfId="440" xr:uid="{00000000-0005-0000-0000-00009C010000}"/>
    <cellStyle name="Addl Dim 2 Rollup" xfId="441" xr:uid="{00000000-0005-0000-0000-00009E010000}"/>
    <cellStyle name="Addl Dim 2 Rollup$ZP$" xfId="442" xr:uid="{00000000-0005-0000-0000-00009F010000}"/>
    <cellStyle name="Addl Dim 3 Rollup" xfId="443" xr:uid="{00000000-0005-0000-0000-0000A1010000}"/>
    <cellStyle name="Addl Dim 3 Rollup$ZP$" xfId="444" xr:uid="{00000000-0005-0000-0000-0000A2010000}"/>
    <cellStyle name="Addl Dim 4 Rollup" xfId="445" xr:uid="{00000000-0005-0000-0000-0000A4010000}"/>
    <cellStyle name="Addl Dim 4 Rollup$ZP$" xfId="446" xr:uid="{00000000-0005-0000-0000-0000A5010000}"/>
    <cellStyle name="Addl Dim 5 Rollup" xfId="447" xr:uid="{00000000-0005-0000-0000-0000A7010000}"/>
    <cellStyle name="Addl Dim 5 Rollup$ZP$" xfId="448" xr:uid="{00000000-0005-0000-0000-0000A8010000}"/>
    <cellStyle name="Addl Dim 6 Rollup" xfId="449" xr:uid="{00000000-0005-0000-0000-0000AA010000}"/>
    <cellStyle name="Addl Dim 6 Rollup$ZP$" xfId="450" xr:uid="{00000000-0005-0000-0000-0000AB010000}"/>
    <cellStyle name="args.style" xfId="451" xr:uid="{00000000-0005-0000-0000-0000AD010000}"/>
    <cellStyle name="BACKGROUND" xfId="452" xr:uid="{00000000-0005-0000-0000-0000AE010000}"/>
    <cellStyle name="BACKGROUND$ZP$" xfId="453" xr:uid="{00000000-0005-0000-0000-0000AF010000}"/>
    <cellStyle name="BACKGROUND$ZPercent$" xfId="454" xr:uid="{00000000-0005-0000-0000-0000B0010000}"/>
    <cellStyle name="Bad 2" xfId="455" xr:uid="{00000000-0005-0000-0000-0000B2010000}"/>
    <cellStyle name="Bad 2 2" xfId="456" xr:uid="{00000000-0005-0000-0000-0000B3010000}"/>
    <cellStyle name="Bad 2 3" xfId="457" xr:uid="{00000000-0005-0000-0000-0000B4010000}"/>
    <cellStyle name="Bad 2 4" xfId="458" xr:uid="{00000000-0005-0000-0000-0000B5010000}"/>
    <cellStyle name="Bad 2 5" xfId="459" xr:uid="{00000000-0005-0000-0000-0000B6010000}"/>
    <cellStyle name="Bad 3" xfId="460" xr:uid="{00000000-0005-0000-0000-0000B7010000}"/>
    <cellStyle name="Bad 3 2" xfId="461" xr:uid="{00000000-0005-0000-0000-0000B8010000}"/>
    <cellStyle name="Calc Currency (0)" xfId="462" xr:uid="{00000000-0005-0000-0000-0000B9010000}"/>
    <cellStyle name="Calc Currency (2)" xfId="463" xr:uid="{00000000-0005-0000-0000-0000BA010000}"/>
    <cellStyle name="Calc Percent (0)" xfId="464" xr:uid="{00000000-0005-0000-0000-0000BB010000}"/>
    <cellStyle name="Calc Percent (1)" xfId="465" xr:uid="{00000000-0005-0000-0000-0000BC010000}"/>
    <cellStyle name="Calc Percent (2)" xfId="466" xr:uid="{00000000-0005-0000-0000-0000BD010000}"/>
    <cellStyle name="Calc Units (0)" xfId="467" xr:uid="{00000000-0005-0000-0000-0000BE010000}"/>
    <cellStyle name="Calc Units (1)" xfId="468" xr:uid="{00000000-0005-0000-0000-0000BF010000}"/>
    <cellStyle name="Calc Units (2)" xfId="469" xr:uid="{00000000-0005-0000-0000-0000C0010000}"/>
    <cellStyle name="Calculation 10" xfId="470" xr:uid="{00000000-0005-0000-0000-0000C1010000}"/>
    <cellStyle name="Calculation 10 2" xfId="471" xr:uid="{00000000-0005-0000-0000-0000C2010000}"/>
    <cellStyle name="Calculation 2" xfId="472" xr:uid="{00000000-0005-0000-0000-0000C3010000}"/>
    <cellStyle name="Calculation 2 2" xfId="473" xr:uid="{00000000-0005-0000-0000-0000C4010000}"/>
    <cellStyle name="Calculation 2 3" xfId="474" xr:uid="{00000000-0005-0000-0000-0000C5010000}"/>
    <cellStyle name="Calculation 2 4" xfId="475" xr:uid="{00000000-0005-0000-0000-0000C6010000}"/>
    <cellStyle name="Calculation 2 5" xfId="476" xr:uid="{00000000-0005-0000-0000-0000C7010000}"/>
    <cellStyle name="Calculation 3" xfId="477" xr:uid="{00000000-0005-0000-0000-0000C8010000}"/>
    <cellStyle name="Calculation 3 2" xfId="478" xr:uid="{00000000-0005-0000-0000-0000C9010000}"/>
    <cellStyle name="Calculation 3 3" xfId="479" xr:uid="{00000000-0005-0000-0000-0000CA010000}"/>
    <cellStyle name="Calculation 3 4" xfId="480" xr:uid="{00000000-0005-0000-0000-0000CB010000}"/>
    <cellStyle name="Calculation 4" xfId="481" xr:uid="{00000000-0005-0000-0000-0000CC010000}"/>
    <cellStyle name="Calculation 4 2" xfId="482" xr:uid="{00000000-0005-0000-0000-0000CD010000}"/>
    <cellStyle name="Calculation 4 3" xfId="483" xr:uid="{00000000-0005-0000-0000-0000CE010000}"/>
    <cellStyle name="Calculation 4 4" xfId="484" xr:uid="{00000000-0005-0000-0000-0000CF010000}"/>
    <cellStyle name="Calculation 5" xfId="485" xr:uid="{00000000-0005-0000-0000-0000D0010000}"/>
    <cellStyle name="Calculation 5 2" xfId="486" xr:uid="{00000000-0005-0000-0000-0000D1010000}"/>
    <cellStyle name="Calculation 5 3" xfId="487" xr:uid="{00000000-0005-0000-0000-0000D2010000}"/>
    <cellStyle name="Calculation 5 4" xfId="488" xr:uid="{00000000-0005-0000-0000-0000D3010000}"/>
    <cellStyle name="Calculation 6" xfId="489" xr:uid="{00000000-0005-0000-0000-0000D4010000}"/>
    <cellStyle name="Calculation 6 2" xfId="490" xr:uid="{00000000-0005-0000-0000-0000D5010000}"/>
    <cellStyle name="Calculation 6 3" xfId="491" xr:uid="{00000000-0005-0000-0000-0000D6010000}"/>
    <cellStyle name="Calculation 6 4" xfId="492" xr:uid="{00000000-0005-0000-0000-0000D7010000}"/>
    <cellStyle name="Calculation 7" xfId="493" xr:uid="{00000000-0005-0000-0000-0000D8010000}"/>
    <cellStyle name="Calculation 7 2" xfId="494" xr:uid="{00000000-0005-0000-0000-0000D9010000}"/>
    <cellStyle name="Calculation 7 3" xfId="495" xr:uid="{00000000-0005-0000-0000-0000DA010000}"/>
    <cellStyle name="Calculation 7 4" xfId="496" xr:uid="{00000000-0005-0000-0000-0000DB010000}"/>
    <cellStyle name="Calculation 8" xfId="497" xr:uid="{00000000-0005-0000-0000-0000DC010000}"/>
    <cellStyle name="Calculation 8 2" xfId="498" xr:uid="{00000000-0005-0000-0000-0000DD010000}"/>
    <cellStyle name="Calculation 8 3" xfId="499" xr:uid="{00000000-0005-0000-0000-0000DE010000}"/>
    <cellStyle name="Calculation 8 4" xfId="500" xr:uid="{00000000-0005-0000-0000-0000DF010000}"/>
    <cellStyle name="Calculation 9" xfId="501" xr:uid="{00000000-0005-0000-0000-0000E0010000}"/>
    <cellStyle name="Calculation 9 2" xfId="502" xr:uid="{00000000-0005-0000-0000-0000E1010000}"/>
    <cellStyle name="Calculation 9 3" xfId="503" xr:uid="{00000000-0005-0000-0000-0000E2010000}"/>
    <cellStyle name="Calculation 9 4" xfId="504" xr:uid="{00000000-0005-0000-0000-0000E3010000}"/>
    <cellStyle name="Center" xfId="9" xr:uid="{00000000-0005-0000-0000-0000E4010000}"/>
    <cellStyle name="Center 2" xfId="19" xr:uid="{00000000-0005-0000-0000-0000E5010000}"/>
    <cellStyle name="Center 3" xfId="23" xr:uid="{00000000-0005-0000-0000-0000E6010000}"/>
    <cellStyle name="Check Cell 2" xfId="505" xr:uid="{00000000-0005-0000-0000-0000E7010000}"/>
    <cellStyle name="Check Cell 2 2" xfId="506" xr:uid="{00000000-0005-0000-0000-0000E8010000}"/>
    <cellStyle name="Check Cell 2 3" xfId="507" xr:uid="{00000000-0005-0000-0000-0000E9010000}"/>
    <cellStyle name="Check Cell 2 4" xfId="508" xr:uid="{00000000-0005-0000-0000-0000EA010000}"/>
    <cellStyle name="Check Cell 2 5" xfId="509" xr:uid="{00000000-0005-0000-0000-0000EB010000}"/>
    <cellStyle name="Check Cell 3" xfId="510" xr:uid="{00000000-0005-0000-0000-0000EC010000}"/>
    <cellStyle name="Check Cell 3 2" xfId="511" xr:uid="{00000000-0005-0000-0000-0000ED010000}"/>
    <cellStyle name="COLHDR" xfId="512" xr:uid="{00000000-0005-0000-0000-0000EE010000}"/>
    <cellStyle name="COLHDR$ZP$" xfId="513" xr:uid="{00000000-0005-0000-0000-0000EF010000}"/>
    <cellStyle name="Column Title" xfId="514" xr:uid="{00000000-0005-0000-0000-0000F0010000}"/>
    <cellStyle name="ColumnHeading" xfId="515" xr:uid="{00000000-0005-0000-0000-0000F1010000}"/>
    <cellStyle name="COLUMNS" xfId="516" xr:uid="{00000000-0005-0000-0000-0000F2010000}"/>
    <cellStyle name="Comma" xfId="1" builtinId="3"/>
    <cellStyle name="Comma [00]" xfId="517" xr:uid="{00000000-0005-0000-0000-0000F4010000}"/>
    <cellStyle name="Comma [2]" xfId="518" xr:uid="{00000000-0005-0000-0000-0000F5010000}"/>
    <cellStyle name="Comma 10" xfId="519" xr:uid="{00000000-0005-0000-0000-0000F6010000}"/>
    <cellStyle name="Comma 10 2" xfId="520" xr:uid="{00000000-0005-0000-0000-0000F7010000}"/>
    <cellStyle name="Comma 11" xfId="521" xr:uid="{00000000-0005-0000-0000-0000F8010000}"/>
    <cellStyle name="Comma 12" xfId="522" xr:uid="{00000000-0005-0000-0000-0000F9010000}"/>
    <cellStyle name="Comma 13" xfId="523" xr:uid="{00000000-0005-0000-0000-0000FA010000}"/>
    <cellStyle name="Comma 14" xfId="524" xr:uid="{00000000-0005-0000-0000-0000FB010000}"/>
    <cellStyle name="Comma 15" xfId="525" xr:uid="{00000000-0005-0000-0000-0000FC010000}"/>
    <cellStyle name="Comma 15 2" xfId="526" xr:uid="{00000000-0005-0000-0000-0000FD010000}"/>
    <cellStyle name="Comma 16" xfId="527" xr:uid="{00000000-0005-0000-0000-0000FE010000}"/>
    <cellStyle name="Comma 17" xfId="528" xr:uid="{00000000-0005-0000-0000-0000FF010000}"/>
    <cellStyle name="Comma 18" xfId="529" xr:uid="{00000000-0005-0000-0000-000000020000}"/>
    <cellStyle name="Comma 19" xfId="530" xr:uid="{00000000-0005-0000-0000-000001020000}"/>
    <cellStyle name="Comma 2" xfId="7" xr:uid="{00000000-0005-0000-0000-000002020000}"/>
    <cellStyle name="Comma 2 2" xfId="531" xr:uid="{00000000-0005-0000-0000-000003020000}"/>
    <cellStyle name="Comma 2 2 10" xfId="532" xr:uid="{00000000-0005-0000-0000-000004020000}"/>
    <cellStyle name="Comma 2 2 11" xfId="533" xr:uid="{00000000-0005-0000-0000-000005020000}"/>
    <cellStyle name="Comma 2 2 12" xfId="534" xr:uid="{00000000-0005-0000-0000-000006020000}"/>
    <cellStyle name="Comma 2 2 2" xfId="535" xr:uid="{00000000-0005-0000-0000-000007020000}"/>
    <cellStyle name="Comma 2 2 2 2" xfId="536" xr:uid="{00000000-0005-0000-0000-000008020000}"/>
    <cellStyle name="Comma 2 2 2 3" xfId="537" xr:uid="{00000000-0005-0000-0000-000009020000}"/>
    <cellStyle name="Comma 2 2 2 4" xfId="538" xr:uid="{00000000-0005-0000-0000-00000A020000}"/>
    <cellStyle name="Comma 2 2 3" xfId="539" xr:uid="{00000000-0005-0000-0000-00000B020000}"/>
    <cellStyle name="Comma 2 2 3 2" xfId="540" xr:uid="{00000000-0005-0000-0000-00000C020000}"/>
    <cellStyle name="Comma 2 2 3 3" xfId="541" xr:uid="{00000000-0005-0000-0000-00000D020000}"/>
    <cellStyle name="Comma 2 2 3 4" xfId="542" xr:uid="{00000000-0005-0000-0000-00000E020000}"/>
    <cellStyle name="Comma 2 2 4" xfId="543" xr:uid="{00000000-0005-0000-0000-00000F020000}"/>
    <cellStyle name="Comma 2 2 4 2" xfId="544" xr:uid="{00000000-0005-0000-0000-000010020000}"/>
    <cellStyle name="Comma 2 2 4 3" xfId="545" xr:uid="{00000000-0005-0000-0000-000011020000}"/>
    <cellStyle name="Comma 2 2 4 4" xfId="546" xr:uid="{00000000-0005-0000-0000-000012020000}"/>
    <cellStyle name="Comma 2 2 5" xfId="547" xr:uid="{00000000-0005-0000-0000-000013020000}"/>
    <cellStyle name="Comma 2 2 5 2" xfId="548" xr:uid="{00000000-0005-0000-0000-000014020000}"/>
    <cellStyle name="Comma 2 2 5 3" xfId="549" xr:uid="{00000000-0005-0000-0000-000015020000}"/>
    <cellStyle name="Comma 2 2 5 4" xfId="550" xr:uid="{00000000-0005-0000-0000-000016020000}"/>
    <cellStyle name="Comma 2 2 6" xfId="551" xr:uid="{00000000-0005-0000-0000-000017020000}"/>
    <cellStyle name="Comma 2 2 6 2" xfId="552" xr:uid="{00000000-0005-0000-0000-000018020000}"/>
    <cellStyle name="Comma 2 2 6 3" xfId="553" xr:uid="{00000000-0005-0000-0000-000019020000}"/>
    <cellStyle name="Comma 2 2 6 4" xfId="554" xr:uid="{00000000-0005-0000-0000-00001A020000}"/>
    <cellStyle name="Comma 2 2 7" xfId="555" xr:uid="{00000000-0005-0000-0000-00001B020000}"/>
    <cellStyle name="Comma 2 2 7 2" xfId="556" xr:uid="{00000000-0005-0000-0000-00001C020000}"/>
    <cellStyle name="Comma 2 2 7 3" xfId="557" xr:uid="{00000000-0005-0000-0000-00001D020000}"/>
    <cellStyle name="Comma 2 2 7 4" xfId="558" xr:uid="{00000000-0005-0000-0000-00001E020000}"/>
    <cellStyle name="Comma 2 2 8" xfId="559" xr:uid="{00000000-0005-0000-0000-00001F020000}"/>
    <cellStyle name="Comma 2 2 8 2" xfId="560" xr:uid="{00000000-0005-0000-0000-000020020000}"/>
    <cellStyle name="Comma 2 2 8 3" xfId="561" xr:uid="{00000000-0005-0000-0000-000021020000}"/>
    <cellStyle name="Comma 2 2 8 4" xfId="562" xr:uid="{00000000-0005-0000-0000-000022020000}"/>
    <cellStyle name="Comma 2 2 9" xfId="563" xr:uid="{00000000-0005-0000-0000-000023020000}"/>
    <cellStyle name="Comma 2 2 9 2" xfId="564" xr:uid="{00000000-0005-0000-0000-000024020000}"/>
    <cellStyle name="Comma 2 3" xfId="565" xr:uid="{00000000-0005-0000-0000-000025020000}"/>
    <cellStyle name="Comma 2 3 2" xfId="566" xr:uid="{00000000-0005-0000-0000-000026020000}"/>
    <cellStyle name="Comma 2 4" xfId="567" xr:uid="{00000000-0005-0000-0000-000027020000}"/>
    <cellStyle name="Comma 2 5" xfId="568" xr:uid="{00000000-0005-0000-0000-000028020000}"/>
    <cellStyle name="Comma 2 5 2" xfId="569" xr:uid="{00000000-0005-0000-0000-000029020000}"/>
    <cellStyle name="Comma 2 6" xfId="570" xr:uid="{00000000-0005-0000-0000-00002A020000}"/>
    <cellStyle name="Comma 2 7" xfId="571" xr:uid="{00000000-0005-0000-0000-00002B020000}"/>
    <cellStyle name="Comma 2 8" xfId="572" xr:uid="{00000000-0005-0000-0000-00002C020000}"/>
    <cellStyle name="Comma 20" xfId="573" xr:uid="{00000000-0005-0000-0000-00002D020000}"/>
    <cellStyle name="Comma 21" xfId="574" xr:uid="{00000000-0005-0000-0000-00002E020000}"/>
    <cellStyle name="Comma 22" xfId="575" xr:uid="{00000000-0005-0000-0000-00002F020000}"/>
    <cellStyle name="Comma 23" xfId="576" xr:uid="{00000000-0005-0000-0000-000030020000}"/>
    <cellStyle name="Comma 24" xfId="577" xr:uid="{00000000-0005-0000-0000-000031020000}"/>
    <cellStyle name="Comma 25" xfId="578" xr:uid="{00000000-0005-0000-0000-000032020000}"/>
    <cellStyle name="Comma 26" xfId="579" xr:uid="{00000000-0005-0000-0000-000033020000}"/>
    <cellStyle name="Comma 27" xfId="580" xr:uid="{00000000-0005-0000-0000-000034020000}"/>
    <cellStyle name="Comma 28" xfId="581" xr:uid="{00000000-0005-0000-0000-000035020000}"/>
    <cellStyle name="Comma 29" xfId="582" xr:uid="{00000000-0005-0000-0000-000036020000}"/>
    <cellStyle name="Comma 3" xfId="14" xr:uid="{00000000-0005-0000-0000-000037020000}"/>
    <cellStyle name="Comma 3 10" xfId="584" xr:uid="{00000000-0005-0000-0000-000038020000}"/>
    <cellStyle name="Comma 3 11" xfId="585" xr:uid="{00000000-0005-0000-0000-000039020000}"/>
    <cellStyle name="Comma 3 11 2" xfId="586" xr:uid="{00000000-0005-0000-0000-00003A020000}"/>
    <cellStyle name="Comma 3 11 3" xfId="587" xr:uid="{00000000-0005-0000-0000-00003B020000}"/>
    <cellStyle name="Comma 3 12" xfId="588" xr:uid="{00000000-0005-0000-0000-00003C020000}"/>
    <cellStyle name="Comma 3 13" xfId="589" xr:uid="{00000000-0005-0000-0000-00003D020000}"/>
    <cellStyle name="Comma 3 14" xfId="583" xr:uid="{00000000-0005-0000-0000-00003E020000}"/>
    <cellStyle name="Comma 3 2" xfId="590" xr:uid="{00000000-0005-0000-0000-00003F020000}"/>
    <cellStyle name="Comma 3 2 2" xfId="591" xr:uid="{00000000-0005-0000-0000-000040020000}"/>
    <cellStyle name="Comma 3 2 2 2" xfId="592" xr:uid="{00000000-0005-0000-0000-000041020000}"/>
    <cellStyle name="Comma 3 2 3" xfId="593" xr:uid="{00000000-0005-0000-0000-000042020000}"/>
    <cellStyle name="Comma 3 2 4" xfId="594" xr:uid="{00000000-0005-0000-0000-000043020000}"/>
    <cellStyle name="Comma 3 2 5" xfId="595" xr:uid="{00000000-0005-0000-0000-000044020000}"/>
    <cellStyle name="Comma 3 2 6" xfId="596" xr:uid="{00000000-0005-0000-0000-000045020000}"/>
    <cellStyle name="Comma 3 3" xfId="597" xr:uid="{00000000-0005-0000-0000-000046020000}"/>
    <cellStyle name="Comma 3 3 2" xfId="598" xr:uid="{00000000-0005-0000-0000-000047020000}"/>
    <cellStyle name="Comma 3 3 3" xfId="599" xr:uid="{00000000-0005-0000-0000-000048020000}"/>
    <cellStyle name="Comma 3 3 4" xfId="600" xr:uid="{00000000-0005-0000-0000-000049020000}"/>
    <cellStyle name="Comma 3 4" xfId="601" xr:uid="{00000000-0005-0000-0000-00004A020000}"/>
    <cellStyle name="Comma 3 4 2" xfId="602" xr:uid="{00000000-0005-0000-0000-00004B020000}"/>
    <cellStyle name="Comma 3 4 3" xfId="603" xr:uid="{00000000-0005-0000-0000-00004C020000}"/>
    <cellStyle name="Comma 3 4 4" xfId="604" xr:uid="{00000000-0005-0000-0000-00004D020000}"/>
    <cellStyle name="Comma 3 5" xfId="605" xr:uid="{00000000-0005-0000-0000-00004E020000}"/>
    <cellStyle name="Comma 3 5 2" xfId="606" xr:uid="{00000000-0005-0000-0000-00004F020000}"/>
    <cellStyle name="Comma 3 5 3" xfId="607" xr:uid="{00000000-0005-0000-0000-000050020000}"/>
    <cellStyle name="Comma 3 5 4" xfId="608" xr:uid="{00000000-0005-0000-0000-000051020000}"/>
    <cellStyle name="Comma 3 6" xfId="609" xr:uid="{00000000-0005-0000-0000-000052020000}"/>
    <cellStyle name="Comma 3 6 2" xfId="610" xr:uid="{00000000-0005-0000-0000-000053020000}"/>
    <cellStyle name="Comma 3 6 3" xfId="611" xr:uid="{00000000-0005-0000-0000-000054020000}"/>
    <cellStyle name="Comma 3 6 4" xfId="612" xr:uid="{00000000-0005-0000-0000-000055020000}"/>
    <cellStyle name="Comma 3 7" xfId="613" xr:uid="{00000000-0005-0000-0000-000056020000}"/>
    <cellStyle name="Comma 3 7 2" xfId="614" xr:uid="{00000000-0005-0000-0000-000057020000}"/>
    <cellStyle name="Comma 3 7 3" xfId="615" xr:uid="{00000000-0005-0000-0000-000058020000}"/>
    <cellStyle name="Comma 3 7 4" xfId="616" xr:uid="{00000000-0005-0000-0000-000059020000}"/>
    <cellStyle name="Comma 3 8" xfId="617" xr:uid="{00000000-0005-0000-0000-00005A020000}"/>
    <cellStyle name="Comma 3 8 2" xfId="618" xr:uid="{00000000-0005-0000-0000-00005B020000}"/>
    <cellStyle name="Comma 3 8 3" xfId="619" xr:uid="{00000000-0005-0000-0000-00005C020000}"/>
    <cellStyle name="Comma 3 8 4" xfId="620" xr:uid="{00000000-0005-0000-0000-00005D020000}"/>
    <cellStyle name="Comma 3 9" xfId="621" xr:uid="{00000000-0005-0000-0000-00005E020000}"/>
    <cellStyle name="Comma 3 9 2" xfId="622" xr:uid="{00000000-0005-0000-0000-00005F020000}"/>
    <cellStyle name="Comma 3 9 2 2" xfId="623" xr:uid="{00000000-0005-0000-0000-000060020000}"/>
    <cellStyle name="Comma 3 9 3" xfId="624" xr:uid="{00000000-0005-0000-0000-000061020000}"/>
    <cellStyle name="Comma 30" xfId="625" xr:uid="{00000000-0005-0000-0000-000062020000}"/>
    <cellStyle name="Comma 31" xfId="1842" xr:uid="{15E54A34-81B7-4A94-8F5C-C48C5842D573}"/>
    <cellStyle name="Comma 32" xfId="1847" xr:uid="{EE7DF25F-78B7-4C84-A406-EF601CB76DFD}"/>
    <cellStyle name="Comma 33" xfId="1850" xr:uid="{7BF50E3D-F471-45A4-93E7-9572A391AA5C}"/>
    <cellStyle name="Comma 34" xfId="1856" xr:uid="{7CF288E8-8713-4C8D-8139-AC05FFABF233}"/>
    <cellStyle name="Comma 4" xfId="626" xr:uid="{00000000-0005-0000-0000-000063020000}"/>
    <cellStyle name="Comma 4 2" xfId="627" xr:uid="{00000000-0005-0000-0000-000064020000}"/>
    <cellStyle name="Comma 4 2 2" xfId="628" xr:uid="{00000000-0005-0000-0000-000065020000}"/>
    <cellStyle name="Comma 4 3" xfId="629" xr:uid="{00000000-0005-0000-0000-000066020000}"/>
    <cellStyle name="Comma 4 4" xfId="630" xr:uid="{00000000-0005-0000-0000-000067020000}"/>
    <cellStyle name="Comma 4 5" xfId="631" xr:uid="{00000000-0005-0000-0000-000068020000}"/>
    <cellStyle name="Comma 5" xfId="632" xr:uid="{00000000-0005-0000-0000-000069020000}"/>
    <cellStyle name="Comma 5 2" xfId="633" xr:uid="{00000000-0005-0000-0000-00006A020000}"/>
    <cellStyle name="Comma 5 3" xfId="634" xr:uid="{00000000-0005-0000-0000-00006B020000}"/>
    <cellStyle name="Comma 5 3 2" xfId="635" xr:uid="{00000000-0005-0000-0000-00006C020000}"/>
    <cellStyle name="Comma 5 3 2 2" xfId="636" xr:uid="{00000000-0005-0000-0000-00006D020000}"/>
    <cellStyle name="Comma 5 3 3" xfId="637" xr:uid="{00000000-0005-0000-0000-00006E020000}"/>
    <cellStyle name="Comma 5 4" xfId="638" xr:uid="{00000000-0005-0000-0000-00006F020000}"/>
    <cellStyle name="Comma 5 4 2" xfId="639" xr:uid="{00000000-0005-0000-0000-000070020000}"/>
    <cellStyle name="Comma 5 5" xfId="640" xr:uid="{00000000-0005-0000-0000-000071020000}"/>
    <cellStyle name="Comma 5 5 2" xfId="641" xr:uid="{00000000-0005-0000-0000-000072020000}"/>
    <cellStyle name="Comma 5 6" xfId="642" xr:uid="{00000000-0005-0000-0000-000073020000}"/>
    <cellStyle name="Comma 6" xfId="643" xr:uid="{00000000-0005-0000-0000-000074020000}"/>
    <cellStyle name="Comma 6 2" xfId="644" xr:uid="{00000000-0005-0000-0000-000075020000}"/>
    <cellStyle name="Comma 6 2 2" xfId="645" xr:uid="{00000000-0005-0000-0000-000076020000}"/>
    <cellStyle name="Comma 6 2 2 2" xfId="646" xr:uid="{00000000-0005-0000-0000-000077020000}"/>
    <cellStyle name="Comma 6 2 3" xfId="647" xr:uid="{00000000-0005-0000-0000-000078020000}"/>
    <cellStyle name="Comma 6 3" xfId="648" xr:uid="{00000000-0005-0000-0000-000079020000}"/>
    <cellStyle name="Comma 6 3 2" xfId="649" xr:uid="{00000000-0005-0000-0000-00007A020000}"/>
    <cellStyle name="Comma 6 4" xfId="650" xr:uid="{00000000-0005-0000-0000-00007B020000}"/>
    <cellStyle name="Comma 6 4 2" xfId="651" xr:uid="{00000000-0005-0000-0000-00007C020000}"/>
    <cellStyle name="Comma 6 5" xfId="652" xr:uid="{00000000-0005-0000-0000-00007D020000}"/>
    <cellStyle name="Comma 7" xfId="653" xr:uid="{00000000-0005-0000-0000-00007E020000}"/>
    <cellStyle name="Comma 7 2" xfId="654" xr:uid="{00000000-0005-0000-0000-00007F020000}"/>
    <cellStyle name="Comma 7 2 2" xfId="655" xr:uid="{00000000-0005-0000-0000-000080020000}"/>
    <cellStyle name="Comma 7 3" xfId="656" xr:uid="{00000000-0005-0000-0000-000081020000}"/>
    <cellStyle name="Comma 8" xfId="657" xr:uid="{00000000-0005-0000-0000-000082020000}"/>
    <cellStyle name="Comma 8 2" xfId="658" xr:uid="{00000000-0005-0000-0000-000083020000}"/>
    <cellStyle name="Comma 9" xfId="659" xr:uid="{00000000-0005-0000-0000-000084020000}"/>
    <cellStyle name="Comma 9 2" xfId="660" xr:uid="{00000000-0005-0000-0000-000085020000}"/>
    <cellStyle name="comma zerodec" xfId="661" xr:uid="{00000000-0005-0000-0000-000086020000}"/>
    <cellStyle name="Comma0" xfId="662" xr:uid="{00000000-0005-0000-0000-000087020000}"/>
    <cellStyle name="Comma0 - Style3" xfId="663" xr:uid="{00000000-0005-0000-0000-000088020000}"/>
    <cellStyle name="Comma0 - Style4" xfId="664" xr:uid="{00000000-0005-0000-0000-000089020000}"/>
    <cellStyle name="Comma0_1Q Membership Example for Anna" xfId="665" xr:uid="{00000000-0005-0000-0000-00008A020000}"/>
    <cellStyle name="Comma1 - Style1" xfId="666" xr:uid="{00000000-0005-0000-0000-00008B020000}"/>
    <cellStyle name="Copied" xfId="667" xr:uid="{00000000-0005-0000-0000-00008C020000}"/>
    <cellStyle name="Curren - Style1" xfId="668" xr:uid="{00000000-0005-0000-0000-00008D020000}"/>
    <cellStyle name="Currency" xfId="4" builtinId="4"/>
    <cellStyle name="Currency [00]" xfId="669" xr:uid="{00000000-0005-0000-0000-00008F020000}"/>
    <cellStyle name="Currency 10" xfId="670" xr:uid="{00000000-0005-0000-0000-000090020000}"/>
    <cellStyle name="Currency 11" xfId="671" xr:uid="{00000000-0005-0000-0000-000091020000}"/>
    <cellStyle name="Currency 12" xfId="672" xr:uid="{00000000-0005-0000-0000-000092020000}"/>
    <cellStyle name="Currency 13" xfId="673" xr:uid="{00000000-0005-0000-0000-000093020000}"/>
    <cellStyle name="Currency 14" xfId="674" xr:uid="{00000000-0005-0000-0000-000094020000}"/>
    <cellStyle name="Currency 15" xfId="675" xr:uid="{00000000-0005-0000-0000-000095020000}"/>
    <cellStyle name="Currency 16" xfId="676" xr:uid="{00000000-0005-0000-0000-000096020000}"/>
    <cellStyle name="Currency 17" xfId="677" xr:uid="{00000000-0005-0000-0000-000097020000}"/>
    <cellStyle name="Currency 18" xfId="678" xr:uid="{00000000-0005-0000-0000-000098020000}"/>
    <cellStyle name="Currency 19" xfId="679" xr:uid="{00000000-0005-0000-0000-000099020000}"/>
    <cellStyle name="Currency 2" xfId="5" xr:uid="{00000000-0005-0000-0000-00009A020000}"/>
    <cellStyle name="Currency 2 2" xfId="680" xr:uid="{00000000-0005-0000-0000-00009B020000}"/>
    <cellStyle name="Currency 2 2 10" xfId="681" xr:uid="{00000000-0005-0000-0000-00009C020000}"/>
    <cellStyle name="Currency 2 2 11" xfId="682" xr:uid="{00000000-0005-0000-0000-00009D020000}"/>
    <cellStyle name="Currency 2 2 2" xfId="683" xr:uid="{00000000-0005-0000-0000-00009E020000}"/>
    <cellStyle name="Currency 2 2 2 2" xfId="684" xr:uid="{00000000-0005-0000-0000-00009F020000}"/>
    <cellStyle name="Currency 2 2 2 3" xfId="685" xr:uid="{00000000-0005-0000-0000-0000A0020000}"/>
    <cellStyle name="Currency 2 2 2 4" xfId="686" xr:uid="{00000000-0005-0000-0000-0000A1020000}"/>
    <cellStyle name="Currency 2 2 3" xfId="687" xr:uid="{00000000-0005-0000-0000-0000A2020000}"/>
    <cellStyle name="Currency 2 2 3 2" xfId="688" xr:uid="{00000000-0005-0000-0000-0000A3020000}"/>
    <cellStyle name="Currency 2 2 3 3" xfId="689" xr:uid="{00000000-0005-0000-0000-0000A4020000}"/>
    <cellStyle name="Currency 2 2 3 4" xfId="690" xr:uid="{00000000-0005-0000-0000-0000A5020000}"/>
    <cellStyle name="Currency 2 2 4" xfId="691" xr:uid="{00000000-0005-0000-0000-0000A6020000}"/>
    <cellStyle name="Currency 2 2 4 2" xfId="692" xr:uid="{00000000-0005-0000-0000-0000A7020000}"/>
    <cellStyle name="Currency 2 2 4 3" xfId="693" xr:uid="{00000000-0005-0000-0000-0000A8020000}"/>
    <cellStyle name="Currency 2 2 4 4" xfId="694" xr:uid="{00000000-0005-0000-0000-0000A9020000}"/>
    <cellStyle name="Currency 2 2 5" xfId="695" xr:uid="{00000000-0005-0000-0000-0000AA020000}"/>
    <cellStyle name="Currency 2 2 5 2" xfId="696" xr:uid="{00000000-0005-0000-0000-0000AB020000}"/>
    <cellStyle name="Currency 2 2 5 3" xfId="697" xr:uid="{00000000-0005-0000-0000-0000AC020000}"/>
    <cellStyle name="Currency 2 2 5 4" xfId="698" xr:uid="{00000000-0005-0000-0000-0000AD020000}"/>
    <cellStyle name="Currency 2 2 6" xfId="699" xr:uid="{00000000-0005-0000-0000-0000AE020000}"/>
    <cellStyle name="Currency 2 2 6 2" xfId="700" xr:uid="{00000000-0005-0000-0000-0000AF020000}"/>
    <cellStyle name="Currency 2 2 6 3" xfId="701" xr:uid="{00000000-0005-0000-0000-0000B0020000}"/>
    <cellStyle name="Currency 2 2 6 4" xfId="702" xr:uid="{00000000-0005-0000-0000-0000B1020000}"/>
    <cellStyle name="Currency 2 2 7" xfId="703" xr:uid="{00000000-0005-0000-0000-0000B2020000}"/>
    <cellStyle name="Currency 2 2 7 2" xfId="704" xr:uid="{00000000-0005-0000-0000-0000B3020000}"/>
    <cellStyle name="Currency 2 2 7 3" xfId="705" xr:uid="{00000000-0005-0000-0000-0000B4020000}"/>
    <cellStyle name="Currency 2 2 7 4" xfId="706" xr:uid="{00000000-0005-0000-0000-0000B5020000}"/>
    <cellStyle name="Currency 2 2 8" xfId="707" xr:uid="{00000000-0005-0000-0000-0000B6020000}"/>
    <cellStyle name="Currency 2 2 8 2" xfId="708" xr:uid="{00000000-0005-0000-0000-0000B7020000}"/>
    <cellStyle name="Currency 2 2 8 3" xfId="709" xr:uid="{00000000-0005-0000-0000-0000B8020000}"/>
    <cellStyle name="Currency 2 2 8 4" xfId="710" xr:uid="{00000000-0005-0000-0000-0000B9020000}"/>
    <cellStyle name="Currency 2 2 9" xfId="711" xr:uid="{00000000-0005-0000-0000-0000BA020000}"/>
    <cellStyle name="Currency 2 3" xfId="712" xr:uid="{00000000-0005-0000-0000-0000BB020000}"/>
    <cellStyle name="Currency 2 3 2" xfId="713" xr:uid="{00000000-0005-0000-0000-0000BC020000}"/>
    <cellStyle name="Currency 2 4" xfId="714" xr:uid="{00000000-0005-0000-0000-0000BD020000}"/>
    <cellStyle name="Currency 2 5" xfId="715" xr:uid="{00000000-0005-0000-0000-0000BE020000}"/>
    <cellStyle name="Currency 2 6" xfId="716" xr:uid="{00000000-0005-0000-0000-0000BF020000}"/>
    <cellStyle name="Currency 20" xfId="717" xr:uid="{00000000-0005-0000-0000-0000C0020000}"/>
    <cellStyle name="Currency 21" xfId="1851" xr:uid="{779A674C-A0E7-4795-A727-B4C02A32CFBE}"/>
    <cellStyle name="Currency 22" xfId="1854" xr:uid="{8AC25694-297E-4547-A7EE-CB1B34EB2FF3}"/>
    <cellStyle name="Currency 3" xfId="22" xr:uid="{00000000-0005-0000-0000-0000C1020000}"/>
    <cellStyle name="Currency 3 10" xfId="719" xr:uid="{00000000-0005-0000-0000-0000C2020000}"/>
    <cellStyle name="Currency 3 11" xfId="720" xr:uid="{00000000-0005-0000-0000-0000C3020000}"/>
    <cellStyle name="Currency 3 12" xfId="718" xr:uid="{00000000-0005-0000-0000-0000C4020000}"/>
    <cellStyle name="Currency 3 2" xfId="721" xr:uid="{00000000-0005-0000-0000-0000C5020000}"/>
    <cellStyle name="Currency 3 2 2" xfId="722" xr:uid="{00000000-0005-0000-0000-0000C6020000}"/>
    <cellStyle name="Currency 3 2 3" xfId="723" xr:uid="{00000000-0005-0000-0000-0000C7020000}"/>
    <cellStyle name="Currency 3 2 4" xfId="724" xr:uid="{00000000-0005-0000-0000-0000C8020000}"/>
    <cellStyle name="Currency 3 3" xfId="725" xr:uid="{00000000-0005-0000-0000-0000C9020000}"/>
    <cellStyle name="Currency 3 3 2" xfId="726" xr:uid="{00000000-0005-0000-0000-0000CA020000}"/>
    <cellStyle name="Currency 3 3 3" xfId="727" xr:uid="{00000000-0005-0000-0000-0000CB020000}"/>
    <cellStyle name="Currency 3 3 4" xfId="728" xr:uid="{00000000-0005-0000-0000-0000CC020000}"/>
    <cellStyle name="Currency 3 4" xfId="729" xr:uid="{00000000-0005-0000-0000-0000CD020000}"/>
    <cellStyle name="Currency 3 4 2" xfId="730" xr:uid="{00000000-0005-0000-0000-0000CE020000}"/>
    <cellStyle name="Currency 3 4 3" xfId="731" xr:uid="{00000000-0005-0000-0000-0000CF020000}"/>
    <cellStyle name="Currency 3 4 4" xfId="732" xr:uid="{00000000-0005-0000-0000-0000D0020000}"/>
    <cellStyle name="Currency 3 5" xfId="733" xr:uid="{00000000-0005-0000-0000-0000D1020000}"/>
    <cellStyle name="Currency 3 5 2" xfId="734" xr:uid="{00000000-0005-0000-0000-0000D2020000}"/>
    <cellStyle name="Currency 3 5 3" xfId="735" xr:uid="{00000000-0005-0000-0000-0000D3020000}"/>
    <cellStyle name="Currency 3 5 4" xfId="736" xr:uid="{00000000-0005-0000-0000-0000D4020000}"/>
    <cellStyle name="Currency 3 6" xfId="737" xr:uid="{00000000-0005-0000-0000-0000D5020000}"/>
    <cellStyle name="Currency 3 6 2" xfId="738" xr:uid="{00000000-0005-0000-0000-0000D6020000}"/>
    <cellStyle name="Currency 3 6 3" xfId="739" xr:uid="{00000000-0005-0000-0000-0000D7020000}"/>
    <cellStyle name="Currency 3 6 4" xfId="740" xr:uid="{00000000-0005-0000-0000-0000D8020000}"/>
    <cellStyle name="Currency 3 7" xfId="741" xr:uid="{00000000-0005-0000-0000-0000D9020000}"/>
    <cellStyle name="Currency 3 7 2" xfId="742" xr:uid="{00000000-0005-0000-0000-0000DA020000}"/>
    <cellStyle name="Currency 3 7 3" xfId="743" xr:uid="{00000000-0005-0000-0000-0000DB020000}"/>
    <cellStyle name="Currency 3 7 4" xfId="744" xr:uid="{00000000-0005-0000-0000-0000DC020000}"/>
    <cellStyle name="Currency 3 8" xfId="745" xr:uid="{00000000-0005-0000-0000-0000DD020000}"/>
    <cellStyle name="Currency 3 8 2" xfId="746" xr:uid="{00000000-0005-0000-0000-0000DE020000}"/>
    <cellStyle name="Currency 3 8 3" xfId="747" xr:uid="{00000000-0005-0000-0000-0000DF020000}"/>
    <cellStyle name="Currency 3 8 4" xfId="748" xr:uid="{00000000-0005-0000-0000-0000E0020000}"/>
    <cellStyle name="Currency 3 9" xfId="749" xr:uid="{00000000-0005-0000-0000-0000E1020000}"/>
    <cellStyle name="Currency 4" xfId="25" xr:uid="{00000000-0005-0000-0000-0000E2020000}"/>
    <cellStyle name="Currency 4 2" xfId="751" xr:uid="{00000000-0005-0000-0000-0000E3020000}"/>
    <cellStyle name="Currency 4 2 2" xfId="752" xr:uid="{00000000-0005-0000-0000-0000E4020000}"/>
    <cellStyle name="Currency 4 3" xfId="753" xr:uid="{00000000-0005-0000-0000-0000E5020000}"/>
    <cellStyle name="Currency 4 3 2" xfId="754" xr:uid="{00000000-0005-0000-0000-0000E6020000}"/>
    <cellStyle name="Currency 4 4" xfId="755" xr:uid="{00000000-0005-0000-0000-0000E7020000}"/>
    <cellStyle name="Currency 4 5" xfId="756" xr:uid="{00000000-0005-0000-0000-0000E8020000}"/>
    <cellStyle name="Currency 4 6" xfId="757" xr:uid="{00000000-0005-0000-0000-0000E9020000}"/>
    <cellStyle name="Currency 4 7" xfId="750" xr:uid="{00000000-0005-0000-0000-0000EA020000}"/>
    <cellStyle name="Currency 5" xfId="758" xr:uid="{00000000-0005-0000-0000-0000EB020000}"/>
    <cellStyle name="Currency 5 2" xfId="759" xr:uid="{00000000-0005-0000-0000-0000EC020000}"/>
    <cellStyle name="Currency 6" xfId="760" xr:uid="{00000000-0005-0000-0000-0000ED020000}"/>
    <cellStyle name="Currency 7" xfId="761" xr:uid="{00000000-0005-0000-0000-0000EE020000}"/>
    <cellStyle name="Currency 7 2" xfId="762" xr:uid="{00000000-0005-0000-0000-0000EF020000}"/>
    <cellStyle name="Currency 7 3" xfId="763" xr:uid="{00000000-0005-0000-0000-0000F0020000}"/>
    <cellStyle name="Currency 8" xfId="764" xr:uid="{00000000-0005-0000-0000-0000F1020000}"/>
    <cellStyle name="Currency 9" xfId="765" xr:uid="{00000000-0005-0000-0000-0000F2020000}"/>
    <cellStyle name="Currency0" xfId="766" xr:uid="{00000000-0005-0000-0000-0000F3020000}"/>
    <cellStyle name="Currency1" xfId="767" xr:uid="{00000000-0005-0000-0000-0000F4020000}"/>
    <cellStyle name="Date" xfId="768" xr:uid="{00000000-0005-0000-0000-0000F5020000}"/>
    <cellStyle name="Date Short" xfId="769" xr:uid="{00000000-0005-0000-0000-0000F6020000}"/>
    <cellStyle name="Date_01 MLN" xfId="770" xr:uid="{00000000-0005-0000-0000-0000F7020000}"/>
    <cellStyle name="DecimalsFour" xfId="771" xr:uid="{00000000-0005-0000-0000-0000F8020000}"/>
    <cellStyle name="DecimalsNone" xfId="772" xr:uid="{00000000-0005-0000-0000-0000F9020000}"/>
    <cellStyle name="DecimalsTwo" xfId="773" xr:uid="{00000000-0005-0000-0000-0000FA020000}"/>
    <cellStyle name="discount" xfId="774" xr:uid="{00000000-0005-0000-0000-0000FB020000}"/>
    <cellStyle name="Dollar (zero dec)" xfId="775" xr:uid="{00000000-0005-0000-0000-0000FC020000}"/>
    <cellStyle name="Enter Currency (0)" xfId="776" xr:uid="{00000000-0005-0000-0000-0000FD020000}"/>
    <cellStyle name="Enter Currency (2)" xfId="777" xr:uid="{00000000-0005-0000-0000-0000FE020000}"/>
    <cellStyle name="Enter Units (0)" xfId="778" xr:uid="{00000000-0005-0000-0000-0000FF020000}"/>
    <cellStyle name="Enter Units (1)" xfId="779" xr:uid="{00000000-0005-0000-0000-000000030000}"/>
    <cellStyle name="Enter Units (2)" xfId="780" xr:uid="{00000000-0005-0000-0000-000001030000}"/>
    <cellStyle name="Entered" xfId="781" xr:uid="{00000000-0005-0000-0000-000002030000}"/>
    <cellStyle name="Explanatory Text 2" xfId="782" xr:uid="{00000000-0005-0000-0000-000003030000}"/>
    <cellStyle name="Explanatory Text 2 2" xfId="783" xr:uid="{00000000-0005-0000-0000-000004030000}"/>
    <cellStyle name="Explanatory Text 2 3" xfId="784" xr:uid="{00000000-0005-0000-0000-000005030000}"/>
    <cellStyle name="Explanatory Text 3" xfId="785" xr:uid="{00000000-0005-0000-0000-000006030000}"/>
    <cellStyle name="ExtRef_Date" xfId="786" xr:uid="{00000000-0005-0000-0000-000007030000}"/>
    <cellStyle name="F2" xfId="787" xr:uid="{00000000-0005-0000-0000-000008030000}"/>
    <cellStyle name="F3" xfId="788" xr:uid="{00000000-0005-0000-0000-000009030000}"/>
    <cellStyle name="F4" xfId="789" xr:uid="{00000000-0005-0000-0000-00000A030000}"/>
    <cellStyle name="F5" xfId="790" xr:uid="{00000000-0005-0000-0000-00000B030000}"/>
    <cellStyle name="F6" xfId="791" xr:uid="{00000000-0005-0000-0000-00000C030000}"/>
    <cellStyle name="F7" xfId="792" xr:uid="{00000000-0005-0000-0000-00000D030000}"/>
    <cellStyle name="F8" xfId="793" xr:uid="{00000000-0005-0000-0000-00000E030000}"/>
    <cellStyle name="Fixed" xfId="794" xr:uid="{00000000-0005-0000-0000-00000F030000}"/>
    <cellStyle name="FIXED0" xfId="795" xr:uid="{00000000-0005-0000-0000-000010030000}"/>
    <cellStyle name="FIXED0$ZP$" xfId="796" xr:uid="{00000000-0005-0000-0000-000011030000}"/>
    <cellStyle name="FIXED2" xfId="797" xr:uid="{00000000-0005-0000-0000-000013030000}"/>
    <cellStyle name="FIXED2$ZP$" xfId="798" xr:uid="{00000000-0005-0000-0000-000014030000}"/>
    <cellStyle name="Fixed3 - Style3" xfId="799" xr:uid="{00000000-0005-0000-0000-000016030000}"/>
    <cellStyle name="Good 2" xfId="800" xr:uid="{00000000-0005-0000-0000-000017030000}"/>
    <cellStyle name="Good 2 2" xfId="801" xr:uid="{00000000-0005-0000-0000-000018030000}"/>
    <cellStyle name="Good 2 3" xfId="802" xr:uid="{00000000-0005-0000-0000-000019030000}"/>
    <cellStyle name="Good 2 4" xfId="803" xr:uid="{00000000-0005-0000-0000-00001A030000}"/>
    <cellStyle name="Good 2 5" xfId="804" xr:uid="{00000000-0005-0000-0000-00001B030000}"/>
    <cellStyle name="Good 3" xfId="805" xr:uid="{00000000-0005-0000-0000-00001C030000}"/>
    <cellStyle name="Good 3 2" xfId="806" xr:uid="{00000000-0005-0000-0000-00001D030000}"/>
    <cellStyle name="Grey" xfId="807" xr:uid="{00000000-0005-0000-0000-00001E030000}"/>
    <cellStyle name="Header1" xfId="808" xr:uid="{00000000-0005-0000-0000-00001F030000}"/>
    <cellStyle name="Header2" xfId="809" xr:uid="{00000000-0005-0000-0000-000020030000}"/>
    <cellStyle name="Heading 1 2" xfId="810" xr:uid="{00000000-0005-0000-0000-000021030000}"/>
    <cellStyle name="Heading 1 2 2" xfId="811" xr:uid="{00000000-0005-0000-0000-000022030000}"/>
    <cellStyle name="Heading 1 2 3" xfId="812" xr:uid="{00000000-0005-0000-0000-000023030000}"/>
    <cellStyle name="Heading 1 3" xfId="813" xr:uid="{00000000-0005-0000-0000-000024030000}"/>
    <cellStyle name="Heading 2 2" xfId="814" xr:uid="{00000000-0005-0000-0000-000025030000}"/>
    <cellStyle name="Heading 2 2 2" xfId="815" xr:uid="{00000000-0005-0000-0000-000026030000}"/>
    <cellStyle name="Heading 2 2 3" xfId="816" xr:uid="{00000000-0005-0000-0000-000027030000}"/>
    <cellStyle name="Heading 2 3" xfId="817" xr:uid="{00000000-0005-0000-0000-000028030000}"/>
    <cellStyle name="Heading 3 2" xfId="818" xr:uid="{00000000-0005-0000-0000-000029030000}"/>
    <cellStyle name="Heading 3 2 2" xfId="819" xr:uid="{00000000-0005-0000-0000-00002A030000}"/>
    <cellStyle name="Heading 3 2 3" xfId="820" xr:uid="{00000000-0005-0000-0000-00002B030000}"/>
    <cellStyle name="Heading 3 3" xfId="821" xr:uid="{00000000-0005-0000-0000-00002C030000}"/>
    <cellStyle name="Heading 4 2" xfId="822" xr:uid="{00000000-0005-0000-0000-00002D030000}"/>
    <cellStyle name="Heading 4 2 2" xfId="823" xr:uid="{00000000-0005-0000-0000-00002E030000}"/>
    <cellStyle name="Heading 4 2 3" xfId="824" xr:uid="{00000000-0005-0000-0000-00002F030000}"/>
    <cellStyle name="Heading 4 3" xfId="825" xr:uid="{00000000-0005-0000-0000-000030030000}"/>
    <cellStyle name="HEADING1" xfId="826" xr:uid="{00000000-0005-0000-0000-000031030000}"/>
    <cellStyle name="HEADING2" xfId="827" xr:uid="{00000000-0005-0000-0000-000032030000}"/>
    <cellStyle name="HEADING3" xfId="828" xr:uid="{00000000-0005-0000-0000-000033030000}"/>
    <cellStyle name="HEADINGS" xfId="829" xr:uid="{00000000-0005-0000-0000-000034030000}"/>
    <cellStyle name="HEADINGSTOP" xfId="830" xr:uid="{00000000-0005-0000-0000-000035030000}"/>
    <cellStyle name="Hidden" xfId="831" xr:uid="{00000000-0005-0000-0000-000036030000}"/>
    <cellStyle name="Hyperlink" xfId="1845" builtinId="8"/>
    <cellStyle name="Hyperlink 2" xfId="1857" xr:uid="{0F71FCCD-99F0-4CFB-B2AC-1AF214D2FD59}"/>
    <cellStyle name="indent-1" xfId="11" xr:uid="{00000000-0005-0000-0000-000037030000}"/>
    <cellStyle name="indent-2" xfId="12" xr:uid="{00000000-0005-0000-0000-000038030000}"/>
    <cellStyle name="indent-3" xfId="13" xr:uid="{00000000-0005-0000-0000-000039030000}"/>
    <cellStyle name="indent-4" xfId="15" xr:uid="{00000000-0005-0000-0000-00003A030000}"/>
    <cellStyle name="indent-5" xfId="16" xr:uid="{00000000-0005-0000-0000-00003B030000}"/>
    <cellStyle name="Input [yellow]" xfId="832" xr:uid="{00000000-0005-0000-0000-00003C030000}"/>
    <cellStyle name="Input 10" xfId="833" xr:uid="{00000000-0005-0000-0000-00003D030000}"/>
    <cellStyle name="Input 10 2" xfId="834" xr:uid="{00000000-0005-0000-0000-00003E030000}"/>
    <cellStyle name="Input 11" xfId="835" xr:uid="{00000000-0005-0000-0000-00003F030000}"/>
    <cellStyle name="Input 12" xfId="836" xr:uid="{00000000-0005-0000-0000-000040030000}"/>
    <cellStyle name="Input 13" xfId="837" xr:uid="{00000000-0005-0000-0000-000041030000}"/>
    <cellStyle name="Input 14" xfId="838" xr:uid="{00000000-0005-0000-0000-000042030000}"/>
    <cellStyle name="Input 15" xfId="839" xr:uid="{00000000-0005-0000-0000-000043030000}"/>
    <cellStyle name="Input 16" xfId="840" xr:uid="{00000000-0005-0000-0000-000044030000}"/>
    <cellStyle name="Input 17" xfId="841" xr:uid="{00000000-0005-0000-0000-000045030000}"/>
    <cellStyle name="Input 18" xfId="842" xr:uid="{00000000-0005-0000-0000-000046030000}"/>
    <cellStyle name="Input 19" xfId="843" xr:uid="{00000000-0005-0000-0000-000047030000}"/>
    <cellStyle name="Input 2" xfId="844" xr:uid="{00000000-0005-0000-0000-000048030000}"/>
    <cellStyle name="Input 2 2" xfId="845" xr:uid="{00000000-0005-0000-0000-000049030000}"/>
    <cellStyle name="Input 2 3" xfId="846" xr:uid="{00000000-0005-0000-0000-00004A030000}"/>
    <cellStyle name="Input 2 4" xfId="847" xr:uid="{00000000-0005-0000-0000-00004B030000}"/>
    <cellStyle name="Input 2 5" xfId="848" xr:uid="{00000000-0005-0000-0000-00004C030000}"/>
    <cellStyle name="Input 20" xfId="849" xr:uid="{00000000-0005-0000-0000-00004D030000}"/>
    <cellStyle name="Input 21" xfId="850" xr:uid="{00000000-0005-0000-0000-00004E030000}"/>
    <cellStyle name="Input 22" xfId="851" xr:uid="{00000000-0005-0000-0000-00004F030000}"/>
    <cellStyle name="Input 3" xfId="852" xr:uid="{00000000-0005-0000-0000-000050030000}"/>
    <cellStyle name="Input 3 2" xfId="853" xr:uid="{00000000-0005-0000-0000-000051030000}"/>
    <cellStyle name="Input 3 3" xfId="854" xr:uid="{00000000-0005-0000-0000-000052030000}"/>
    <cellStyle name="Input 3 4" xfId="855" xr:uid="{00000000-0005-0000-0000-000053030000}"/>
    <cellStyle name="Input 4" xfId="856" xr:uid="{00000000-0005-0000-0000-000054030000}"/>
    <cellStyle name="Input 4 2" xfId="857" xr:uid="{00000000-0005-0000-0000-000055030000}"/>
    <cellStyle name="Input 4 3" xfId="858" xr:uid="{00000000-0005-0000-0000-000056030000}"/>
    <cellStyle name="Input 4 4" xfId="859" xr:uid="{00000000-0005-0000-0000-000057030000}"/>
    <cellStyle name="Input 5" xfId="860" xr:uid="{00000000-0005-0000-0000-000058030000}"/>
    <cellStyle name="Input 5 2" xfId="861" xr:uid="{00000000-0005-0000-0000-000059030000}"/>
    <cellStyle name="Input 5 3" xfId="862" xr:uid="{00000000-0005-0000-0000-00005A030000}"/>
    <cellStyle name="Input 5 4" xfId="863" xr:uid="{00000000-0005-0000-0000-00005B030000}"/>
    <cellStyle name="Input 6" xfId="864" xr:uid="{00000000-0005-0000-0000-00005C030000}"/>
    <cellStyle name="Input 6 2" xfId="865" xr:uid="{00000000-0005-0000-0000-00005D030000}"/>
    <cellStyle name="Input 6 3" xfId="866" xr:uid="{00000000-0005-0000-0000-00005E030000}"/>
    <cellStyle name="Input 6 4" xfId="867" xr:uid="{00000000-0005-0000-0000-00005F030000}"/>
    <cellStyle name="Input 7" xfId="868" xr:uid="{00000000-0005-0000-0000-000060030000}"/>
    <cellStyle name="Input 7 2" xfId="869" xr:uid="{00000000-0005-0000-0000-000061030000}"/>
    <cellStyle name="Input 7 3" xfId="870" xr:uid="{00000000-0005-0000-0000-000062030000}"/>
    <cellStyle name="Input 7 4" xfId="871" xr:uid="{00000000-0005-0000-0000-000063030000}"/>
    <cellStyle name="Input 8" xfId="872" xr:uid="{00000000-0005-0000-0000-000064030000}"/>
    <cellStyle name="Input 8 2" xfId="873" xr:uid="{00000000-0005-0000-0000-000065030000}"/>
    <cellStyle name="Input 8 3" xfId="874" xr:uid="{00000000-0005-0000-0000-000066030000}"/>
    <cellStyle name="Input 8 4" xfId="875" xr:uid="{00000000-0005-0000-0000-000067030000}"/>
    <cellStyle name="Input 9" xfId="876" xr:uid="{00000000-0005-0000-0000-000068030000}"/>
    <cellStyle name="Input 9 2" xfId="877" xr:uid="{00000000-0005-0000-0000-000069030000}"/>
    <cellStyle name="Input 9 3" xfId="878" xr:uid="{00000000-0005-0000-0000-00006A030000}"/>
    <cellStyle name="Input 9 4" xfId="879" xr:uid="{00000000-0005-0000-0000-00006B030000}"/>
    <cellStyle name="Invisible" xfId="880" xr:uid="{00000000-0005-0000-0000-00006C030000}"/>
    <cellStyle name="Legal 8½ x 14 in" xfId="881" xr:uid="{00000000-0005-0000-0000-00006D030000}"/>
    <cellStyle name="Level 1" xfId="882" xr:uid="{00000000-0005-0000-0000-00006E030000}"/>
    <cellStyle name="Level 2" xfId="883" xr:uid="{00000000-0005-0000-0000-00006F030000}"/>
    <cellStyle name="Level 3" xfId="884" xr:uid="{00000000-0005-0000-0000-000070030000}"/>
    <cellStyle name="Link Currency (0)" xfId="885" xr:uid="{00000000-0005-0000-0000-000071030000}"/>
    <cellStyle name="Link Currency (2)" xfId="886" xr:uid="{00000000-0005-0000-0000-000072030000}"/>
    <cellStyle name="Link Units (0)" xfId="887" xr:uid="{00000000-0005-0000-0000-000073030000}"/>
    <cellStyle name="Link Units (1)" xfId="888" xr:uid="{00000000-0005-0000-0000-000074030000}"/>
    <cellStyle name="Link Units (2)" xfId="889" xr:uid="{00000000-0005-0000-0000-000075030000}"/>
    <cellStyle name="Linked Cell 2" xfId="890" xr:uid="{00000000-0005-0000-0000-000076030000}"/>
    <cellStyle name="Linked Cell 2 2" xfId="891" xr:uid="{00000000-0005-0000-0000-000077030000}"/>
    <cellStyle name="Linked Cell 2 3" xfId="892" xr:uid="{00000000-0005-0000-0000-000078030000}"/>
    <cellStyle name="Linked Cell 3" xfId="893" xr:uid="{00000000-0005-0000-0000-000079030000}"/>
    <cellStyle name="listprice" xfId="894" xr:uid="{00000000-0005-0000-0000-00007A030000}"/>
    <cellStyle name="Main Dim Rollup" xfId="895" xr:uid="{00000000-0005-0000-0000-00007B030000}"/>
    <cellStyle name="Main Dim Rollup$ZP$" xfId="896" xr:uid="{00000000-0005-0000-0000-00007C030000}"/>
    <cellStyle name="n" xfId="897" xr:uid="{00000000-0005-0000-0000-00007D030000}"/>
    <cellStyle name="Neutral 2" xfId="898" xr:uid="{00000000-0005-0000-0000-00007E030000}"/>
    <cellStyle name="Neutral 2 2" xfId="899" xr:uid="{00000000-0005-0000-0000-00007F030000}"/>
    <cellStyle name="Neutral 2 3" xfId="900" xr:uid="{00000000-0005-0000-0000-000080030000}"/>
    <cellStyle name="Neutral 2 4" xfId="901" xr:uid="{00000000-0005-0000-0000-000081030000}"/>
    <cellStyle name="Neutral 2 5" xfId="902" xr:uid="{00000000-0005-0000-0000-000082030000}"/>
    <cellStyle name="Neutral 3" xfId="903" xr:uid="{00000000-0005-0000-0000-000083030000}"/>
    <cellStyle name="Neutral 3 2" xfId="904" xr:uid="{00000000-0005-0000-0000-000084030000}"/>
    <cellStyle name="New Times Roman" xfId="905" xr:uid="{00000000-0005-0000-0000-000085030000}"/>
    <cellStyle name="no dec" xfId="906" xr:uid="{00000000-0005-0000-0000-000086030000}"/>
    <cellStyle name="Normal" xfId="0" builtinId="0"/>
    <cellStyle name="Normal - Style1" xfId="907" xr:uid="{00000000-0005-0000-0000-000088030000}"/>
    <cellStyle name="Normal 10" xfId="908" xr:uid="{00000000-0005-0000-0000-000089030000}"/>
    <cellStyle name="Normal 10 2" xfId="909" xr:uid="{00000000-0005-0000-0000-00008A030000}"/>
    <cellStyle name="Normal 11" xfId="910" xr:uid="{00000000-0005-0000-0000-00008B030000}"/>
    <cellStyle name="Normal 11 2" xfId="911" xr:uid="{00000000-0005-0000-0000-00008C030000}"/>
    <cellStyle name="Normal 12" xfId="912" xr:uid="{00000000-0005-0000-0000-00008D030000}"/>
    <cellStyle name="Normal 12 2" xfId="913" xr:uid="{00000000-0005-0000-0000-00008E030000}"/>
    <cellStyle name="Normal 13" xfId="914" xr:uid="{00000000-0005-0000-0000-00008F030000}"/>
    <cellStyle name="Normal 14" xfId="915" xr:uid="{00000000-0005-0000-0000-000090030000}"/>
    <cellStyle name="Normal 15" xfId="916" xr:uid="{00000000-0005-0000-0000-000091030000}"/>
    <cellStyle name="Normal 15 2" xfId="1844" xr:uid="{9A60A96E-CA03-40E0-B9E2-A743CD59B183}"/>
    <cellStyle name="Normal 16" xfId="917" xr:uid="{00000000-0005-0000-0000-000092030000}"/>
    <cellStyle name="Normal 16 2" xfId="918" xr:uid="{00000000-0005-0000-0000-000093030000}"/>
    <cellStyle name="Normal 17" xfId="919" xr:uid="{00000000-0005-0000-0000-000094030000}"/>
    <cellStyle name="Normal 18" xfId="920" xr:uid="{00000000-0005-0000-0000-000095030000}"/>
    <cellStyle name="Normal 19" xfId="921" xr:uid="{00000000-0005-0000-0000-000096030000}"/>
    <cellStyle name="Normal 2" xfId="6" xr:uid="{00000000-0005-0000-0000-000097030000}"/>
    <cellStyle name="Normal 2 10" xfId="923" xr:uid="{00000000-0005-0000-0000-000098030000}"/>
    <cellStyle name="Normal 2 10 2" xfId="924" xr:uid="{00000000-0005-0000-0000-000099030000}"/>
    <cellStyle name="Normal 2 10 2 2" xfId="925" xr:uid="{00000000-0005-0000-0000-00009A030000}"/>
    <cellStyle name="Normal 2 10 3" xfId="926" xr:uid="{00000000-0005-0000-0000-00009B030000}"/>
    <cellStyle name="Normal 2 11" xfId="927" xr:uid="{00000000-0005-0000-0000-00009C030000}"/>
    <cellStyle name="Normal 2 12" xfId="928" xr:uid="{00000000-0005-0000-0000-00009D030000}"/>
    <cellStyle name="Normal 2 13" xfId="922" xr:uid="{00000000-0005-0000-0000-00009E030000}"/>
    <cellStyle name="Normal 2 2" xfId="929" xr:uid="{00000000-0005-0000-0000-00009F030000}"/>
    <cellStyle name="Normal 2 2 2" xfId="930" xr:uid="{00000000-0005-0000-0000-0000A0030000}"/>
    <cellStyle name="Normal 2 2 2 2" xfId="931" xr:uid="{00000000-0005-0000-0000-0000A1030000}"/>
    <cellStyle name="Normal 2 2 2 3" xfId="932" xr:uid="{00000000-0005-0000-0000-0000A2030000}"/>
    <cellStyle name="Normal 2 2 2 4" xfId="933" xr:uid="{00000000-0005-0000-0000-0000A3030000}"/>
    <cellStyle name="Normal 2 2 3" xfId="934" xr:uid="{00000000-0005-0000-0000-0000A4030000}"/>
    <cellStyle name="Normal 2 2 3 2" xfId="935" xr:uid="{00000000-0005-0000-0000-0000A5030000}"/>
    <cellStyle name="Normal 2 2 3 3" xfId="936" xr:uid="{00000000-0005-0000-0000-0000A6030000}"/>
    <cellStyle name="Normal 2 2 4" xfId="937" xr:uid="{00000000-0005-0000-0000-0000A7030000}"/>
    <cellStyle name="Normal 2 2 5" xfId="938" xr:uid="{00000000-0005-0000-0000-0000A8030000}"/>
    <cellStyle name="Normal 2 2 6" xfId="939" xr:uid="{00000000-0005-0000-0000-0000A9030000}"/>
    <cellStyle name="Normal 2 2 7" xfId="940" xr:uid="{00000000-0005-0000-0000-0000AA030000}"/>
    <cellStyle name="Normal 2 2 8" xfId="941" xr:uid="{00000000-0005-0000-0000-0000AB030000}"/>
    <cellStyle name="Normal 2 3" xfId="942" xr:uid="{00000000-0005-0000-0000-0000AC030000}"/>
    <cellStyle name="Normal 2 3 2" xfId="943" xr:uid="{00000000-0005-0000-0000-0000AD030000}"/>
    <cellStyle name="Normal 2 3 2 2" xfId="944" xr:uid="{00000000-0005-0000-0000-0000AE030000}"/>
    <cellStyle name="Normal 2 3 3" xfId="945" xr:uid="{00000000-0005-0000-0000-0000AF030000}"/>
    <cellStyle name="Normal 2 3 4" xfId="946" xr:uid="{00000000-0005-0000-0000-0000B0030000}"/>
    <cellStyle name="Normal 2 3 5" xfId="947" xr:uid="{00000000-0005-0000-0000-0000B1030000}"/>
    <cellStyle name="Normal 2 3 6" xfId="948" xr:uid="{00000000-0005-0000-0000-0000B2030000}"/>
    <cellStyle name="Normal 2 4" xfId="949" xr:uid="{00000000-0005-0000-0000-0000B3030000}"/>
    <cellStyle name="Normal 2 4 2" xfId="950" xr:uid="{00000000-0005-0000-0000-0000B4030000}"/>
    <cellStyle name="Normal 2 4 2 2" xfId="951" xr:uid="{00000000-0005-0000-0000-0000B5030000}"/>
    <cellStyle name="Normal 2 4 3" xfId="952" xr:uid="{00000000-0005-0000-0000-0000B6030000}"/>
    <cellStyle name="Normal 2 4 4" xfId="953" xr:uid="{00000000-0005-0000-0000-0000B7030000}"/>
    <cellStyle name="Normal 2 4 5" xfId="954" xr:uid="{00000000-0005-0000-0000-0000B8030000}"/>
    <cellStyle name="Normal 2 4 6" xfId="955" xr:uid="{00000000-0005-0000-0000-0000B9030000}"/>
    <cellStyle name="Normal 2 5" xfId="956" xr:uid="{00000000-0005-0000-0000-0000BA030000}"/>
    <cellStyle name="Normal 2 5 2" xfId="957" xr:uid="{00000000-0005-0000-0000-0000BB030000}"/>
    <cellStyle name="Normal 2 5 3" xfId="958" xr:uid="{00000000-0005-0000-0000-0000BC030000}"/>
    <cellStyle name="Normal 2 5 4" xfId="959" xr:uid="{00000000-0005-0000-0000-0000BD030000}"/>
    <cellStyle name="Normal 2 6" xfId="960" xr:uid="{00000000-0005-0000-0000-0000BE030000}"/>
    <cellStyle name="Normal 2 6 2" xfId="961" xr:uid="{00000000-0005-0000-0000-0000BF030000}"/>
    <cellStyle name="Normal 2 6 3" xfId="962" xr:uid="{00000000-0005-0000-0000-0000C0030000}"/>
    <cellStyle name="Normal 2 6 4" xfId="963" xr:uid="{00000000-0005-0000-0000-0000C1030000}"/>
    <cellStyle name="Normal 2 7" xfId="964" xr:uid="{00000000-0005-0000-0000-0000C2030000}"/>
    <cellStyle name="Normal 2 7 2" xfId="965" xr:uid="{00000000-0005-0000-0000-0000C3030000}"/>
    <cellStyle name="Normal 2 7 3" xfId="966" xr:uid="{00000000-0005-0000-0000-0000C4030000}"/>
    <cellStyle name="Normal 2 7 4" xfId="967" xr:uid="{00000000-0005-0000-0000-0000C5030000}"/>
    <cellStyle name="Normal 2 8" xfId="968" xr:uid="{00000000-0005-0000-0000-0000C6030000}"/>
    <cellStyle name="Normal 2 8 2" xfId="969" xr:uid="{00000000-0005-0000-0000-0000C7030000}"/>
    <cellStyle name="Normal 2 8 3" xfId="970" xr:uid="{00000000-0005-0000-0000-0000C8030000}"/>
    <cellStyle name="Normal 2 8 4" xfId="971" xr:uid="{00000000-0005-0000-0000-0000C9030000}"/>
    <cellStyle name="Normal 2 9" xfId="972" xr:uid="{00000000-0005-0000-0000-0000CA030000}"/>
    <cellStyle name="Normal 2 9 2" xfId="973" xr:uid="{00000000-0005-0000-0000-0000CB030000}"/>
    <cellStyle name="Normal 20" xfId="974" xr:uid="{00000000-0005-0000-0000-0000CC030000}"/>
    <cellStyle name="Normal 21" xfId="975" xr:uid="{00000000-0005-0000-0000-0000CD030000}"/>
    <cellStyle name="Normal 22" xfId="976" xr:uid="{00000000-0005-0000-0000-0000CE030000}"/>
    <cellStyle name="Normal 23" xfId="977" xr:uid="{00000000-0005-0000-0000-0000CF030000}"/>
    <cellStyle name="Normal 24" xfId="978" xr:uid="{00000000-0005-0000-0000-0000D0030000}"/>
    <cellStyle name="Normal 25" xfId="979" xr:uid="{00000000-0005-0000-0000-0000D1030000}"/>
    <cellStyle name="Normal 26" xfId="980" xr:uid="{00000000-0005-0000-0000-0000D2030000}"/>
    <cellStyle name="Normal 27" xfId="981" xr:uid="{00000000-0005-0000-0000-0000D3030000}"/>
    <cellStyle name="Normal 28" xfId="982" xr:uid="{00000000-0005-0000-0000-0000D4030000}"/>
    <cellStyle name="Normal 29" xfId="983" xr:uid="{00000000-0005-0000-0000-0000D5030000}"/>
    <cellStyle name="Normal 3" xfId="2" xr:uid="{00000000-0005-0000-0000-0000D6030000}"/>
    <cellStyle name="Normal 3 10" xfId="985" xr:uid="{00000000-0005-0000-0000-0000D7030000}"/>
    <cellStyle name="Normal 3 10 2" xfId="986" xr:uid="{00000000-0005-0000-0000-0000D8030000}"/>
    <cellStyle name="Normal 3 10 2 2" xfId="987" xr:uid="{00000000-0005-0000-0000-0000D9030000}"/>
    <cellStyle name="Normal 3 10 2 2 2" xfId="988" xr:uid="{00000000-0005-0000-0000-0000DA030000}"/>
    <cellStyle name="Normal 3 10 2 3" xfId="989" xr:uid="{00000000-0005-0000-0000-0000DB030000}"/>
    <cellStyle name="Normal 3 10 2 3 2" xfId="990" xr:uid="{00000000-0005-0000-0000-0000DC030000}"/>
    <cellStyle name="Normal 3 10 2 4" xfId="991" xr:uid="{00000000-0005-0000-0000-0000DD030000}"/>
    <cellStyle name="Normal 3 10 2 5" xfId="992" xr:uid="{00000000-0005-0000-0000-0000DE030000}"/>
    <cellStyle name="Normal 3 10 3" xfId="993" xr:uid="{00000000-0005-0000-0000-0000DF030000}"/>
    <cellStyle name="Normal 3 10 4" xfId="994" xr:uid="{00000000-0005-0000-0000-0000E0030000}"/>
    <cellStyle name="Normal 3 10 5" xfId="995" xr:uid="{00000000-0005-0000-0000-0000E1030000}"/>
    <cellStyle name="Normal 3 10 6" xfId="996" xr:uid="{00000000-0005-0000-0000-0000E2030000}"/>
    <cellStyle name="Normal 3 11" xfId="997" xr:uid="{00000000-0005-0000-0000-0000E3030000}"/>
    <cellStyle name="Normal 3 11 2" xfId="998" xr:uid="{00000000-0005-0000-0000-0000E4030000}"/>
    <cellStyle name="Normal 3 11 2 2" xfId="999" xr:uid="{00000000-0005-0000-0000-0000E5030000}"/>
    <cellStyle name="Normal 3 11 2 3" xfId="1000" xr:uid="{00000000-0005-0000-0000-0000E6030000}"/>
    <cellStyle name="Normal 3 11 3" xfId="1001" xr:uid="{00000000-0005-0000-0000-0000E7030000}"/>
    <cellStyle name="Normal 3 11 4" xfId="1002" xr:uid="{00000000-0005-0000-0000-0000E8030000}"/>
    <cellStyle name="Normal 3 11 4 2" xfId="1003" xr:uid="{00000000-0005-0000-0000-0000E9030000}"/>
    <cellStyle name="Normal 3 11 5" xfId="1004" xr:uid="{00000000-0005-0000-0000-0000EA030000}"/>
    <cellStyle name="Normal 3 11 6" xfId="1005" xr:uid="{00000000-0005-0000-0000-0000EB030000}"/>
    <cellStyle name="Normal 3 12" xfId="1006" xr:uid="{00000000-0005-0000-0000-0000EC030000}"/>
    <cellStyle name="Normal 3 12 2" xfId="1007" xr:uid="{00000000-0005-0000-0000-0000ED030000}"/>
    <cellStyle name="Normal 3 12 2 2" xfId="1008" xr:uid="{00000000-0005-0000-0000-0000EE030000}"/>
    <cellStyle name="Normal 3 12 2 3" xfId="1009" xr:uid="{00000000-0005-0000-0000-0000EF030000}"/>
    <cellStyle name="Normal 3 12 3" xfId="1010" xr:uid="{00000000-0005-0000-0000-0000F0030000}"/>
    <cellStyle name="Normal 3 12 3 2" xfId="1011" xr:uid="{00000000-0005-0000-0000-0000F1030000}"/>
    <cellStyle name="Normal 3 12 4" xfId="1012" xr:uid="{00000000-0005-0000-0000-0000F2030000}"/>
    <cellStyle name="Normal 3 12 5" xfId="1013" xr:uid="{00000000-0005-0000-0000-0000F3030000}"/>
    <cellStyle name="Normal 3 12 5 2" xfId="1014" xr:uid="{00000000-0005-0000-0000-0000F4030000}"/>
    <cellStyle name="Normal 3 12 6" xfId="1015" xr:uid="{00000000-0005-0000-0000-0000F5030000}"/>
    <cellStyle name="Normal 3 12 7" xfId="1016" xr:uid="{00000000-0005-0000-0000-0000F6030000}"/>
    <cellStyle name="Normal 3 13" xfId="1017" xr:uid="{00000000-0005-0000-0000-0000F7030000}"/>
    <cellStyle name="Normal 3 14" xfId="1018" xr:uid="{00000000-0005-0000-0000-0000F8030000}"/>
    <cellStyle name="Normal 3 14 2" xfId="1019" xr:uid="{00000000-0005-0000-0000-0000F9030000}"/>
    <cellStyle name="Normal 3 15" xfId="1020" xr:uid="{00000000-0005-0000-0000-0000FA030000}"/>
    <cellStyle name="Normal 3 16" xfId="1021" xr:uid="{00000000-0005-0000-0000-0000FB030000}"/>
    <cellStyle name="Normal 3 17" xfId="1022" xr:uid="{00000000-0005-0000-0000-0000FC030000}"/>
    <cellStyle name="Normal 3 17 2" xfId="1023" xr:uid="{00000000-0005-0000-0000-0000FD030000}"/>
    <cellStyle name="Normal 3 17 3" xfId="1024" xr:uid="{00000000-0005-0000-0000-0000FE030000}"/>
    <cellStyle name="Normal 3 18" xfId="1025" xr:uid="{00000000-0005-0000-0000-0000FF030000}"/>
    <cellStyle name="Normal 3 19" xfId="1026" xr:uid="{00000000-0005-0000-0000-000000040000}"/>
    <cellStyle name="Normal 3 2" xfId="1027" xr:uid="{00000000-0005-0000-0000-000001040000}"/>
    <cellStyle name="Normal 3 2 10" xfId="1028" xr:uid="{00000000-0005-0000-0000-000002040000}"/>
    <cellStyle name="Normal 3 2 10 2" xfId="1029" xr:uid="{00000000-0005-0000-0000-000003040000}"/>
    <cellStyle name="Normal 3 2 10 2 2" xfId="1030" xr:uid="{00000000-0005-0000-0000-000004040000}"/>
    <cellStyle name="Normal 3 2 10 2 3" xfId="1031" xr:uid="{00000000-0005-0000-0000-000005040000}"/>
    <cellStyle name="Normal 3 2 10 3" xfId="1032" xr:uid="{00000000-0005-0000-0000-000006040000}"/>
    <cellStyle name="Normal 3 2 10 4" xfId="1033" xr:uid="{00000000-0005-0000-0000-000007040000}"/>
    <cellStyle name="Normal 3 2 10 4 2" xfId="1034" xr:uid="{00000000-0005-0000-0000-000008040000}"/>
    <cellStyle name="Normal 3 2 10 5" xfId="1035" xr:uid="{00000000-0005-0000-0000-000009040000}"/>
    <cellStyle name="Normal 3 2 10 6" xfId="1036" xr:uid="{00000000-0005-0000-0000-00000A040000}"/>
    <cellStyle name="Normal 3 2 11" xfId="1037" xr:uid="{00000000-0005-0000-0000-00000B040000}"/>
    <cellStyle name="Normal 3 2 11 2" xfId="1038" xr:uid="{00000000-0005-0000-0000-00000C040000}"/>
    <cellStyle name="Normal 3 2 11 2 2" xfId="1039" xr:uid="{00000000-0005-0000-0000-00000D040000}"/>
    <cellStyle name="Normal 3 2 11 3" xfId="1040" xr:uid="{00000000-0005-0000-0000-00000E040000}"/>
    <cellStyle name="Normal 3 2 11 3 2" xfId="1041" xr:uid="{00000000-0005-0000-0000-00000F040000}"/>
    <cellStyle name="Normal 3 2 11 4" xfId="1042" xr:uid="{00000000-0005-0000-0000-000010040000}"/>
    <cellStyle name="Normal 3 2 11 5" xfId="1043" xr:uid="{00000000-0005-0000-0000-000011040000}"/>
    <cellStyle name="Normal 3 2 12" xfId="1044" xr:uid="{00000000-0005-0000-0000-000012040000}"/>
    <cellStyle name="Normal 3 2 13" xfId="1045" xr:uid="{00000000-0005-0000-0000-000013040000}"/>
    <cellStyle name="Normal 3 2 14" xfId="1046" xr:uid="{00000000-0005-0000-0000-000014040000}"/>
    <cellStyle name="Normal 3 2 15" xfId="1047" xr:uid="{00000000-0005-0000-0000-000015040000}"/>
    <cellStyle name="Normal 3 2 16" xfId="1048" xr:uid="{00000000-0005-0000-0000-000016040000}"/>
    <cellStyle name="Normal 3 2 17" xfId="1049" xr:uid="{00000000-0005-0000-0000-000017040000}"/>
    <cellStyle name="Normal 3 2 2" xfId="1050" xr:uid="{00000000-0005-0000-0000-000018040000}"/>
    <cellStyle name="Normal 3 2 2 2" xfId="1051" xr:uid="{00000000-0005-0000-0000-000019040000}"/>
    <cellStyle name="Normal 3 2 2 2 2" xfId="1052" xr:uid="{00000000-0005-0000-0000-00001A040000}"/>
    <cellStyle name="Normal 3 2 2 2 2 2" xfId="1053" xr:uid="{00000000-0005-0000-0000-00001B040000}"/>
    <cellStyle name="Normal 3 2 2 2 2 2 2" xfId="1054" xr:uid="{00000000-0005-0000-0000-00001C040000}"/>
    <cellStyle name="Normal 3 2 2 2 2 3" xfId="1055" xr:uid="{00000000-0005-0000-0000-00001D040000}"/>
    <cellStyle name="Normal 3 2 2 2 2 3 2" xfId="1056" xr:uid="{00000000-0005-0000-0000-00001E040000}"/>
    <cellStyle name="Normal 3 2 2 2 2 4" xfId="1057" xr:uid="{00000000-0005-0000-0000-00001F040000}"/>
    <cellStyle name="Normal 3 2 2 2 2 5" xfId="1058" xr:uid="{00000000-0005-0000-0000-000020040000}"/>
    <cellStyle name="Normal 3 2 2 2 3" xfId="1059" xr:uid="{00000000-0005-0000-0000-000021040000}"/>
    <cellStyle name="Normal 3 2 2 2 3 2" xfId="1060" xr:uid="{00000000-0005-0000-0000-000022040000}"/>
    <cellStyle name="Normal 3 2 2 2 4" xfId="1061" xr:uid="{00000000-0005-0000-0000-000023040000}"/>
    <cellStyle name="Normal 3 2 2 2 4 2" xfId="1062" xr:uid="{00000000-0005-0000-0000-000024040000}"/>
    <cellStyle name="Normal 3 2 2 2 5" xfId="1063" xr:uid="{00000000-0005-0000-0000-000025040000}"/>
    <cellStyle name="Normal 3 2 2 2 6" xfId="1064" xr:uid="{00000000-0005-0000-0000-000026040000}"/>
    <cellStyle name="Normal 3 2 2 3" xfId="1065" xr:uid="{00000000-0005-0000-0000-000027040000}"/>
    <cellStyle name="Normal 3 2 2 3 2" xfId="1066" xr:uid="{00000000-0005-0000-0000-000028040000}"/>
    <cellStyle name="Normal 3 2 2 3 2 2" xfId="1067" xr:uid="{00000000-0005-0000-0000-000029040000}"/>
    <cellStyle name="Normal 3 2 2 3 3" xfId="1068" xr:uid="{00000000-0005-0000-0000-00002A040000}"/>
    <cellStyle name="Normal 3 2 2 3 3 2" xfId="1069" xr:uid="{00000000-0005-0000-0000-00002B040000}"/>
    <cellStyle name="Normal 3 2 2 3 4" xfId="1070" xr:uid="{00000000-0005-0000-0000-00002C040000}"/>
    <cellStyle name="Normal 3 2 2 3 5" xfId="1071" xr:uid="{00000000-0005-0000-0000-00002D040000}"/>
    <cellStyle name="Normal 3 2 2 4" xfId="1072" xr:uid="{00000000-0005-0000-0000-00002E040000}"/>
    <cellStyle name="Normal 3 2 2 5" xfId="1073" xr:uid="{00000000-0005-0000-0000-00002F040000}"/>
    <cellStyle name="Normal 3 2 2 6" xfId="1074" xr:uid="{00000000-0005-0000-0000-000030040000}"/>
    <cellStyle name="Normal 3 2 2 7" xfId="1075" xr:uid="{00000000-0005-0000-0000-000031040000}"/>
    <cellStyle name="Normal 3 2 3" xfId="1076" xr:uid="{00000000-0005-0000-0000-000032040000}"/>
    <cellStyle name="Normal 3 2 3 2" xfId="1077" xr:uid="{00000000-0005-0000-0000-000033040000}"/>
    <cellStyle name="Normal 3 2 3 2 2" xfId="1078" xr:uid="{00000000-0005-0000-0000-000034040000}"/>
    <cellStyle name="Normal 3 2 3 2 2 2" xfId="1079" xr:uid="{00000000-0005-0000-0000-000035040000}"/>
    <cellStyle name="Normal 3 2 3 2 2 2 2" xfId="1080" xr:uid="{00000000-0005-0000-0000-000036040000}"/>
    <cellStyle name="Normal 3 2 3 2 2 3" xfId="1081" xr:uid="{00000000-0005-0000-0000-000037040000}"/>
    <cellStyle name="Normal 3 2 3 2 2 3 2" xfId="1082" xr:uid="{00000000-0005-0000-0000-000038040000}"/>
    <cellStyle name="Normal 3 2 3 2 2 4" xfId="1083" xr:uid="{00000000-0005-0000-0000-000039040000}"/>
    <cellStyle name="Normal 3 2 3 2 2 5" xfId="1084" xr:uid="{00000000-0005-0000-0000-00003A040000}"/>
    <cellStyle name="Normal 3 2 3 2 3" xfId="1085" xr:uid="{00000000-0005-0000-0000-00003B040000}"/>
    <cellStyle name="Normal 3 2 3 2 3 2" xfId="1086" xr:uid="{00000000-0005-0000-0000-00003C040000}"/>
    <cellStyle name="Normal 3 2 3 2 4" xfId="1087" xr:uid="{00000000-0005-0000-0000-00003D040000}"/>
    <cellStyle name="Normal 3 2 3 2 4 2" xfId="1088" xr:uid="{00000000-0005-0000-0000-00003E040000}"/>
    <cellStyle name="Normal 3 2 3 2 5" xfId="1089" xr:uid="{00000000-0005-0000-0000-00003F040000}"/>
    <cellStyle name="Normal 3 2 3 2 6" xfId="1090" xr:uid="{00000000-0005-0000-0000-000040040000}"/>
    <cellStyle name="Normal 3 2 3 3" xfId="1091" xr:uid="{00000000-0005-0000-0000-000041040000}"/>
    <cellStyle name="Normal 3 2 3 3 2" xfId="1092" xr:uid="{00000000-0005-0000-0000-000042040000}"/>
    <cellStyle name="Normal 3 2 3 3 2 2" xfId="1093" xr:uid="{00000000-0005-0000-0000-000043040000}"/>
    <cellStyle name="Normal 3 2 3 3 3" xfId="1094" xr:uid="{00000000-0005-0000-0000-000044040000}"/>
    <cellStyle name="Normal 3 2 3 3 3 2" xfId="1095" xr:uid="{00000000-0005-0000-0000-000045040000}"/>
    <cellStyle name="Normal 3 2 3 3 4" xfId="1096" xr:uid="{00000000-0005-0000-0000-000046040000}"/>
    <cellStyle name="Normal 3 2 3 3 5" xfId="1097" xr:uid="{00000000-0005-0000-0000-000047040000}"/>
    <cellStyle name="Normal 3 2 3 4" xfId="1098" xr:uid="{00000000-0005-0000-0000-000048040000}"/>
    <cellStyle name="Normal 3 2 3 5" xfId="1099" xr:uid="{00000000-0005-0000-0000-000049040000}"/>
    <cellStyle name="Normal 3 2 3 6" xfId="1100" xr:uid="{00000000-0005-0000-0000-00004A040000}"/>
    <cellStyle name="Normal 3 2 3 7" xfId="1101" xr:uid="{00000000-0005-0000-0000-00004B040000}"/>
    <cellStyle name="Normal 3 2 4" xfId="1102" xr:uid="{00000000-0005-0000-0000-00004C040000}"/>
    <cellStyle name="Normal 3 2 4 2" xfId="1103" xr:uid="{00000000-0005-0000-0000-00004D040000}"/>
    <cellStyle name="Normal 3 2 4 2 2" xfId="1104" xr:uid="{00000000-0005-0000-0000-00004E040000}"/>
    <cellStyle name="Normal 3 2 4 2 2 2" xfId="1105" xr:uid="{00000000-0005-0000-0000-00004F040000}"/>
    <cellStyle name="Normal 3 2 4 2 2 2 2" xfId="1106" xr:uid="{00000000-0005-0000-0000-000050040000}"/>
    <cellStyle name="Normal 3 2 4 2 2 3" xfId="1107" xr:uid="{00000000-0005-0000-0000-000051040000}"/>
    <cellStyle name="Normal 3 2 4 2 2 3 2" xfId="1108" xr:uid="{00000000-0005-0000-0000-000052040000}"/>
    <cellStyle name="Normal 3 2 4 2 2 4" xfId="1109" xr:uid="{00000000-0005-0000-0000-000053040000}"/>
    <cellStyle name="Normal 3 2 4 2 2 5" xfId="1110" xr:uid="{00000000-0005-0000-0000-000054040000}"/>
    <cellStyle name="Normal 3 2 4 2 3" xfId="1111" xr:uid="{00000000-0005-0000-0000-000055040000}"/>
    <cellStyle name="Normal 3 2 4 2 3 2" xfId="1112" xr:uid="{00000000-0005-0000-0000-000056040000}"/>
    <cellStyle name="Normal 3 2 4 2 4" xfId="1113" xr:uid="{00000000-0005-0000-0000-000057040000}"/>
    <cellStyle name="Normal 3 2 4 2 4 2" xfId="1114" xr:uid="{00000000-0005-0000-0000-000058040000}"/>
    <cellStyle name="Normal 3 2 4 2 5" xfId="1115" xr:uid="{00000000-0005-0000-0000-000059040000}"/>
    <cellStyle name="Normal 3 2 4 2 6" xfId="1116" xr:uid="{00000000-0005-0000-0000-00005A040000}"/>
    <cellStyle name="Normal 3 2 4 3" xfId="1117" xr:uid="{00000000-0005-0000-0000-00005B040000}"/>
    <cellStyle name="Normal 3 2 4 3 2" xfId="1118" xr:uid="{00000000-0005-0000-0000-00005C040000}"/>
    <cellStyle name="Normal 3 2 4 3 2 2" xfId="1119" xr:uid="{00000000-0005-0000-0000-00005D040000}"/>
    <cellStyle name="Normal 3 2 4 3 3" xfId="1120" xr:uid="{00000000-0005-0000-0000-00005E040000}"/>
    <cellStyle name="Normal 3 2 4 3 3 2" xfId="1121" xr:uid="{00000000-0005-0000-0000-00005F040000}"/>
    <cellStyle name="Normal 3 2 4 3 4" xfId="1122" xr:uid="{00000000-0005-0000-0000-000060040000}"/>
    <cellStyle name="Normal 3 2 4 3 5" xfId="1123" xr:uid="{00000000-0005-0000-0000-000061040000}"/>
    <cellStyle name="Normal 3 2 4 4" xfId="1124" xr:uid="{00000000-0005-0000-0000-000062040000}"/>
    <cellStyle name="Normal 3 2 4 5" xfId="1125" xr:uid="{00000000-0005-0000-0000-000063040000}"/>
    <cellStyle name="Normal 3 2 4 6" xfId="1126" xr:uid="{00000000-0005-0000-0000-000064040000}"/>
    <cellStyle name="Normal 3 2 4 7" xfId="1127" xr:uid="{00000000-0005-0000-0000-000065040000}"/>
    <cellStyle name="Normal 3 2 5" xfId="1128" xr:uid="{00000000-0005-0000-0000-000066040000}"/>
    <cellStyle name="Normal 3 2 5 2" xfId="1129" xr:uid="{00000000-0005-0000-0000-000067040000}"/>
    <cellStyle name="Normal 3 2 5 2 2" xfId="1130" xr:uid="{00000000-0005-0000-0000-000068040000}"/>
    <cellStyle name="Normal 3 2 5 2 2 2" xfId="1131" xr:uid="{00000000-0005-0000-0000-000069040000}"/>
    <cellStyle name="Normal 3 2 5 2 2 2 2" xfId="1132" xr:uid="{00000000-0005-0000-0000-00006A040000}"/>
    <cellStyle name="Normal 3 2 5 2 2 3" xfId="1133" xr:uid="{00000000-0005-0000-0000-00006B040000}"/>
    <cellStyle name="Normal 3 2 5 2 2 3 2" xfId="1134" xr:uid="{00000000-0005-0000-0000-00006C040000}"/>
    <cellStyle name="Normal 3 2 5 2 2 4" xfId="1135" xr:uid="{00000000-0005-0000-0000-00006D040000}"/>
    <cellStyle name="Normal 3 2 5 2 2 5" xfId="1136" xr:uid="{00000000-0005-0000-0000-00006E040000}"/>
    <cellStyle name="Normal 3 2 5 2 3" xfId="1137" xr:uid="{00000000-0005-0000-0000-00006F040000}"/>
    <cellStyle name="Normal 3 2 5 2 3 2" xfId="1138" xr:uid="{00000000-0005-0000-0000-000070040000}"/>
    <cellStyle name="Normal 3 2 5 2 4" xfId="1139" xr:uid="{00000000-0005-0000-0000-000071040000}"/>
    <cellStyle name="Normal 3 2 5 2 4 2" xfId="1140" xr:uid="{00000000-0005-0000-0000-000072040000}"/>
    <cellStyle name="Normal 3 2 5 2 5" xfId="1141" xr:uid="{00000000-0005-0000-0000-000073040000}"/>
    <cellStyle name="Normal 3 2 5 2 6" xfId="1142" xr:uid="{00000000-0005-0000-0000-000074040000}"/>
    <cellStyle name="Normal 3 2 5 3" xfId="1143" xr:uid="{00000000-0005-0000-0000-000075040000}"/>
    <cellStyle name="Normal 3 2 5 3 2" xfId="1144" xr:uid="{00000000-0005-0000-0000-000076040000}"/>
    <cellStyle name="Normal 3 2 5 3 2 2" xfId="1145" xr:uid="{00000000-0005-0000-0000-000077040000}"/>
    <cellStyle name="Normal 3 2 5 3 3" xfId="1146" xr:uid="{00000000-0005-0000-0000-000078040000}"/>
    <cellStyle name="Normal 3 2 5 3 3 2" xfId="1147" xr:uid="{00000000-0005-0000-0000-000079040000}"/>
    <cellStyle name="Normal 3 2 5 3 4" xfId="1148" xr:uid="{00000000-0005-0000-0000-00007A040000}"/>
    <cellStyle name="Normal 3 2 5 3 5" xfId="1149" xr:uid="{00000000-0005-0000-0000-00007B040000}"/>
    <cellStyle name="Normal 3 2 5 4" xfId="1150" xr:uid="{00000000-0005-0000-0000-00007C040000}"/>
    <cellStyle name="Normal 3 2 5 5" xfId="1151" xr:uid="{00000000-0005-0000-0000-00007D040000}"/>
    <cellStyle name="Normal 3 2 5 6" xfId="1152" xr:uid="{00000000-0005-0000-0000-00007E040000}"/>
    <cellStyle name="Normal 3 2 5 7" xfId="1153" xr:uid="{00000000-0005-0000-0000-00007F040000}"/>
    <cellStyle name="Normal 3 2 6" xfId="1154" xr:uid="{00000000-0005-0000-0000-000080040000}"/>
    <cellStyle name="Normal 3 2 6 2" xfId="1155" xr:uid="{00000000-0005-0000-0000-000081040000}"/>
    <cellStyle name="Normal 3 2 6 2 2" xfId="1156" xr:uid="{00000000-0005-0000-0000-000082040000}"/>
    <cellStyle name="Normal 3 2 6 2 2 2" xfId="1157" xr:uid="{00000000-0005-0000-0000-000083040000}"/>
    <cellStyle name="Normal 3 2 6 2 2 2 2" xfId="1158" xr:uid="{00000000-0005-0000-0000-000084040000}"/>
    <cellStyle name="Normal 3 2 6 2 2 3" xfId="1159" xr:uid="{00000000-0005-0000-0000-000085040000}"/>
    <cellStyle name="Normal 3 2 6 2 2 3 2" xfId="1160" xr:uid="{00000000-0005-0000-0000-000086040000}"/>
    <cellStyle name="Normal 3 2 6 2 2 4" xfId="1161" xr:uid="{00000000-0005-0000-0000-000087040000}"/>
    <cellStyle name="Normal 3 2 6 2 2 5" xfId="1162" xr:uid="{00000000-0005-0000-0000-000088040000}"/>
    <cellStyle name="Normal 3 2 6 2 3" xfId="1163" xr:uid="{00000000-0005-0000-0000-000089040000}"/>
    <cellStyle name="Normal 3 2 6 2 3 2" xfId="1164" xr:uid="{00000000-0005-0000-0000-00008A040000}"/>
    <cellStyle name="Normal 3 2 6 2 4" xfId="1165" xr:uid="{00000000-0005-0000-0000-00008B040000}"/>
    <cellStyle name="Normal 3 2 6 2 4 2" xfId="1166" xr:uid="{00000000-0005-0000-0000-00008C040000}"/>
    <cellStyle name="Normal 3 2 6 2 5" xfId="1167" xr:uid="{00000000-0005-0000-0000-00008D040000}"/>
    <cellStyle name="Normal 3 2 6 2 6" xfId="1168" xr:uid="{00000000-0005-0000-0000-00008E040000}"/>
    <cellStyle name="Normal 3 2 6 3" xfId="1169" xr:uid="{00000000-0005-0000-0000-00008F040000}"/>
    <cellStyle name="Normal 3 2 6 3 2" xfId="1170" xr:uid="{00000000-0005-0000-0000-000090040000}"/>
    <cellStyle name="Normal 3 2 6 3 2 2" xfId="1171" xr:uid="{00000000-0005-0000-0000-000091040000}"/>
    <cellStyle name="Normal 3 2 6 3 3" xfId="1172" xr:uid="{00000000-0005-0000-0000-000092040000}"/>
    <cellStyle name="Normal 3 2 6 3 3 2" xfId="1173" xr:uid="{00000000-0005-0000-0000-000093040000}"/>
    <cellStyle name="Normal 3 2 6 3 4" xfId="1174" xr:uid="{00000000-0005-0000-0000-000094040000}"/>
    <cellStyle name="Normal 3 2 6 3 5" xfId="1175" xr:uid="{00000000-0005-0000-0000-000095040000}"/>
    <cellStyle name="Normal 3 2 6 4" xfId="1176" xr:uid="{00000000-0005-0000-0000-000096040000}"/>
    <cellStyle name="Normal 3 2 6 5" xfId="1177" xr:uid="{00000000-0005-0000-0000-000097040000}"/>
    <cellStyle name="Normal 3 2 6 6" xfId="1178" xr:uid="{00000000-0005-0000-0000-000098040000}"/>
    <cellStyle name="Normal 3 2 6 7" xfId="1179" xr:uid="{00000000-0005-0000-0000-000099040000}"/>
    <cellStyle name="Normal 3 2 7" xfId="1180" xr:uid="{00000000-0005-0000-0000-00009A040000}"/>
    <cellStyle name="Normal 3 2 7 2" xfId="1181" xr:uid="{00000000-0005-0000-0000-00009B040000}"/>
    <cellStyle name="Normal 3 2 7 2 2" xfId="1182" xr:uid="{00000000-0005-0000-0000-00009C040000}"/>
    <cellStyle name="Normal 3 2 7 2 2 2" xfId="1183" xr:uid="{00000000-0005-0000-0000-00009D040000}"/>
    <cellStyle name="Normal 3 2 7 2 2 2 2" xfId="1184" xr:uid="{00000000-0005-0000-0000-00009E040000}"/>
    <cellStyle name="Normal 3 2 7 2 2 3" xfId="1185" xr:uid="{00000000-0005-0000-0000-00009F040000}"/>
    <cellStyle name="Normal 3 2 7 2 2 3 2" xfId="1186" xr:uid="{00000000-0005-0000-0000-0000A0040000}"/>
    <cellStyle name="Normal 3 2 7 2 2 4" xfId="1187" xr:uid="{00000000-0005-0000-0000-0000A1040000}"/>
    <cellStyle name="Normal 3 2 7 2 2 5" xfId="1188" xr:uid="{00000000-0005-0000-0000-0000A2040000}"/>
    <cellStyle name="Normal 3 2 7 2 3" xfId="1189" xr:uid="{00000000-0005-0000-0000-0000A3040000}"/>
    <cellStyle name="Normal 3 2 7 2 3 2" xfId="1190" xr:uid="{00000000-0005-0000-0000-0000A4040000}"/>
    <cellStyle name="Normal 3 2 7 2 4" xfId="1191" xr:uid="{00000000-0005-0000-0000-0000A5040000}"/>
    <cellStyle name="Normal 3 2 7 2 4 2" xfId="1192" xr:uid="{00000000-0005-0000-0000-0000A6040000}"/>
    <cellStyle name="Normal 3 2 7 2 5" xfId="1193" xr:uid="{00000000-0005-0000-0000-0000A7040000}"/>
    <cellStyle name="Normal 3 2 7 2 6" xfId="1194" xr:uid="{00000000-0005-0000-0000-0000A8040000}"/>
    <cellStyle name="Normal 3 2 7 3" xfId="1195" xr:uid="{00000000-0005-0000-0000-0000A9040000}"/>
    <cellStyle name="Normal 3 2 7 3 2" xfId="1196" xr:uid="{00000000-0005-0000-0000-0000AA040000}"/>
    <cellStyle name="Normal 3 2 7 3 2 2" xfId="1197" xr:uid="{00000000-0005-0000-0000-0000AB040000}"/>
    <cellStyle name="Normal 3 2 7 3 3" xfId="1198" xr:uid="{00000000-0005-0000-0000-0000AC040000}"/>
    <cellStyle name="Normal 3 2 7 3 3 2" xfId="1199" xr:uid="{00000000-0005-0000-0000-0000AD040000}"/>
    <cellStyle name="Normal 3 2 7 3 4" xfId="1200" xr:uid="{00000000-0005-0000-0000-0000AE040000}"/>
    <cellStyle name="Normal 3 2 7 3 5" xfId="1201" xr:uid="{00000000-0005-0000-0000-0000AF040000}"/>
    <cellStyle name="Normal 3 2 7 4" xfId="1202" xr:uid="{00000000-0005-0000-0000-0000B0040000}"/>
    <cellStyle name="Normal 3 2 7 5" xfId="1203" xr:uid="{00000000-0005-0000-0000-0000B1040000}"/>
    <cellStyle name="Normal 3 2 7 6" xfId="1204" xr:uid="{00000000-0005-0000-0000-0000B2040000}"/>
    <cellStyle name="Normal 3 2 7 7" xfId="1205" xr:uid="{00000000-0005-0000-0000-0000B3040000}"/>
    <cellStyle name="Normal 3 2 8" xfId="1206" xr:uid="{00000000-0005-0000-0000-0000B4040000}"/>
    <cellStyle name="Normal 3 2 8 2" xfId="1207" xr:uid="{00000000-0005-0000-0000-0000B5040000}"/>
    <cellStyle name="Normal 3 2 8 2 2" xfId="1208" xr:uid="{00000000-0005-0000-0000-0000B6040000}"/>
    <cellStyle name="Normal 3 2 8 2 2 2" xfId="1209" xr:uid="{00000000-0005-0000-0000-0000B7040000}"/>
    <cellStyle name="Normal 3 2 8 2 2 2 2" xfId="1210" xr:uid="{00000000-0005-0000-0000-0000B8040000}"/>
    <cellStyle name="Normal 3 2 8 2 2 3" xfId="1211" xr:uid="{00000000-0005-0000-0000-0000B9040000}"/>
    <cellStyle name="Normal 3 2 8 2 2 3 2" xfId="1212" xr:uid="{00000000-0005-0000-0000-0000BA040000}"/>
    <cellStyle name="Normal 3 2 8 2 2 4" xfId="1213" xr:uid="{00000000-0005-0000-0000-0000BB040000}"/>
    <cellStyle name="Normal 3 2 8 2 2 5" xfId="1214" xr:uid="{00000000-0005-0000-0000-0000BC040000}"/>
    <cellStyle name="Normal 3 2 8 2 3" xfId="1215" xr:uid="{00000000-0005-0000-0000-0000BD040000}"/>
    <cellStyle name="Normal 3 2 8 2 3 2" xfId="1216" xr:uid="{00000000-0005-0000-0000-0000BE040000}"/>
    <cellStyle name="Normal 3 2 8 2 4" xfId="1217" xr:uid="{00000000-0005-0000-0000-0000BF040000}"/>
    <cellStyle name="Normal 3 2 8 2 4 2" xfId="1218" xr:uid="{00000000-0005-0000-0000-0000C0040000}"/>
    <cellStyle name="Normal 3 2 8 2 5" xfId="1219" xr:uid="{00000000-0005-0000-0000-0000C1040000}"/>
    <cellStyle name="Normal 3 2 8 2 6" xfId="1220" xr:uid="{00000000-0005-0000-0000-0000C2040000}"/>
    <cellStyle name="Normal 3 2 8 3" xfId="1221" xr:uid="{00000000-0005-0000-0000-0000C3040000}"/>
    <cellStyle name="Normal 3 2 8 3 2" xfId="1222" xr:uid="{00000000-0005-0000-0000-0000C4040000}"/>
    <cellStyle name="Normal 3 2 8 3 2 2" xfId="1223" xr:uid="{00000000-0005-0000-0000-0000C5040000}"/>
    <cellStyle name="Normal 3 2 8 3 3" xfId="1224" xr:uid="{00000000-0005-0000-0000-0000C6040000}"/>
    <cellStyle name="Normal 3 2 8 3 3 2" xfId="1225" xr:uid="{00000000-0005-0000-0000-0000C7040000}"/>
    <cellStyle name="Normal 3 2 8 3 4" xfId="1226" xr:uid="{00000000-0005-0000-0000-0000C8040000}"/>
    <cellStyle name="Normal 3 2 8 3 5" xfId="1227" xr:uid="{00000000-0005-0000-0000-0000C9040000}"/>
    <cellStyle name="Normal 3 2 8 4" xfId="1228" xr:uid="{00000000-0005-0000-0000-0000CA040000}"/>
    <cellStyle name="Normal 3 2 8 5" xfId="1229" xr:uid="{00000000-0005-0000-0000-0000CB040000}"/>
    <cellStyle name="Normal 3 2 8 6" xfId="1230" xr:uid="{00000000-0005-0000-0000-0000CC040000}"/>
    <cellStyle name="Normal 3 2 8 7" xfId="1231" xr:uid="{00000000-0005-0000-0000-0000CD040000}"/>
    <cellStyle name="Normal 3 2 9" xfId="1232" xr:uid="{00000000-0005-0000-0000-0000CE040000}"/>
    <cellStyle name="Normal 3 2 9 2" xfId="1233" xr:uid="{00000000-0005-0000-0000-0000CF040000}"/>
    <cellStyle name="Normal 3 2 9 2 2" xfId="1234" xr:uid="{00000000-0005-0000-0000-0000D0040000}"/>
    <cellStyle name="Normal 3 2 9 2 2 2" xfId="1235" xr:uid="{00000000-0005-0000-0000-0000D1040000}"/>
    <cellStyle name="Normal 3 2 9 2 3" xfId="1236" xr:uid="{00000000-0005-0000-0000-0000D2040000}"/>
    <cellStyle name="Normal 3 2 9 2 3 2" xfId="1237" xr:uid="{00000000-0005-0000-0000-0000D3040000}"/>
    <cellStyle name="Normal 3 2 9 2 4" xfId="1238" xr:uid="{00000000-0005-0000-0000-0000D4040000}"/>
    <cellStyle name="Normal 3 2 9 2 5" xfId="1239" xr:uid="{00000000-0005-0000-0000-0000D5040000}"/>
    <cellStyle name="Normal 3 2 9 3" xfId="1240" xr:uid="{00000000-0005-0000-0000-0000D6040000}"/>
    <cellStyle name="Normal 3 2 9 4" xfId="1241" xr:uid="{00000000-0005-0000-0000-0000D7040000}"/>
    <cellStyle name="Normal 3 2 9 5" xfId="1242" xr:uid="{00000000-0005-0000-0000-0000D8040000}"/>
    <cellStyle name="Normal 3 2 9 6" xfId="1243" xr:uid="{00000000-0005-0000-0000-0000D9040000}"/>
    <cellStyle name="Normal 3 20" xfId="984" xr:uid="{00000000-0005-0000-0000-0000DA040000}"/>
    <cellStyle name="Normal 3 3" xfId="1244" xr:uid="{00000000-0005-0000-0000-0000DB040000}"/>
    <cellStyle name="Normal 3 3 2" xfId="1245" xr:uid="{00000000-0005-0000-0000-0000DC040000}"/>
    <cellStyle name="Normal 3 3 2 2" xfId="1246" xr:uid="{00000000-0005-0000-0000-0000DD040000}"/>
    <cellStyle name="Normal 3 3 2 2 2" xfId="1247" xr:uid="{00000000-0005-0000-0000-0000DE040000}"/>
    <cellStyle name="Normal 3 3 2 2 2 2" xfId="1248" xr:uid="{00000000-0005-0000-0000-0000DF040000}"/>
    <cellStyle name="Normal 3 3 2 2 3" xfId="1249" xr:uid="{00000000-0005-0000-0000-0000E0040000}"/>
    <cellStyle name="Normal 3 3 2 2 3 2" xfId="1250" xr:uid="{00000000-0005-0000-0000-0000E1040000}"/>
    <cellStyle name="Normal 3 3 2 2 4" xfId="1251" xr:uid="{00000000-0005-0000-0000-0000E2040000}"/>
    <cellStyle name="Normal 3 3 2 2 5" xfId="1252" xr:uid="{00000000-0005-0000-0000-0000E3040000}"/>
    <cellStyle name="Normal 3 3 2 3" xfId="1253" xr:uid="{00000000-0005-0000-0000-0000E4040000}"/>
    <cellStyle name="Normal 3 3 2 3 2" xfId="1254" xr:uid="{00000000-0005-0000-0000-0000E5040000}"/>
    <cellStyle name="Normal 3 3 2 4" xfId="1255" xr:uid="{00000000-0005-0000-0000-0000E6040000}"/>
    <cellStyle name="Normal 3 3 2 4 2" xfId="1256" xr:uid="{00000000-0005-0000-0000-0000E7040000}"/>
    <cellStyle name="Normal 3 3 2 5" xfId="1257" xr:uid="{00000000-0005-0000-0000-0000E8040000}"/>
    <cellStyle name="Normal 3 3 2 6" xfId="1258" xr:uid="{00000000-0005-0000-0000-0000E9040000}"/>
    <cellStyle name="Normal 3 3 3" xfId="1259" xr:uid="{00000000-0005-0000-0000-0000EA040000}"/>
    <cellStyle name="Normal 3 3 3 2" xfId="1260" xr:uid="{00000000-0005-0000-0000-0000EB040000}"/>
    <cellStyle name="Normal 3 3 3 2 2" xfId="1261" xr:uid="{00000000-0005-0000-0000-0000EC040000}"/>
    <cellStyle name="Normal 3 3 3 3" xfId="1262" xr:uid="{00000000-0005-0000-0000-0000ED040000}"/>
    <cellStyle name="Normal 3 3 3 3 2" xfId="1263" xr:uid="{00000000-0005-0000-0000-0000EE040000}"/>
    <cellStyle name="Normal 3 3 3 4" xfId="1264" xr:uid="{00000000-0005-0000-0000-0000EF040000}"/>
    <cellStyle name="Normal 3 3 3 5" xfId="1265" xr:uid="{00000000-0005-0000-0000-0000F0040000}"/>
    <cellStyle name="Normal 3 3 4" xfId="1266" xr:uid="{00000000-0005-0000-0000-0000F1040000}"/>
    <cellStyle name="Normal 3 3 5" xfId="1267" xr:uid="{00000000-0005-0000-0000-0000F2040000}"/>
    <cellStyle name="Normal 3 3 6" xfId="1268" xr:uid="{00000000-0005-0000-0000-0000F3040000}"/>
    <cellStyle name="Normal 3 3 7" xfId="1269" xr:uid="{00000000-0005-0000-0000-0000F4040000}"/>
    <cellStyle name="Normal 3 4" xfId="1270" xr:uid="{00000000-0005-0000-0000-0000F5040000}"/>
    <cellStyle name="Normal 3 4 2" xfId="1271" xr:uid="{00000000-0005-0000-0000-0000F6040000}"/>
    <cellStyle name="Normal 3 4 2 2" xfId="1272" xr:uid="{00000000-0005-0000-0000-0000F7040000}"/>
    <cellStyle name="Normal 3 4 2 2 2" xfId="1273" xr:uid="{00000000-0005-0000-0000-0000F8040000}"/>
    <cellStyle name="Normal 3 4 2 2 2 2" xfId="1274" xr:uid="{00000000-0005-0000-0000-0000F9040000}"/>
    <cellStyle name="Normal 3 4 2 2 3" xfId="1275" xr:uid="{00000000-0005-0000-0000-0000FA040000}"/>
    <cellStyle name="Normal 3 4 2 2 3 2" xfId="1276" xr:uid="{00000000-0005-0000-0000-0000FB040000}"/>
    <cellStyle name="Normal 3 4 2 2 4" xfId="1277" xr:uid="{00000000-0005-0000-0000-0000FC040000}"/>
    <cellStyle name="Normal 3 4 2 2 5" xfId="1278" xr:uid="{00000000-0005-0000-0000-0000FD040000}"/>
    <cellStyle name="Normal 3 4 2 3" xfId="1279" xr:uid="{00000000-0005-0000-0000-0000FE040000}"/>
    <cellStyle name="Normal 3 4 2 3 2" xfId="1280" xr:uid="{00000000-0005-0000-0000-0000FF040000}"/>
    <cellStyle name="Normal 3 4 2 4" xfId="1281" xr:uid="{00000000-0005-0000-0000-000000050000}"/>
    <cellStyle name="Normal 3 4 2 4 2" xfId="1282" xr:uid="{00000000-0005-0000-0000-000001050000}"/>
    <cellStyle name="Normal 3 4 2 5" xfId="1283" xr:uid="{00000000-0005-0000-0000-000002050000}"/>
    <cellStyle name="Normal 3 4 2 6" xfId="1284" xr:uid="{00000000-0005-0000-0000-000003050000}"/>
    <cellStyle name="Normal 3 4 3" xfId="1285" xr:uid="{00000000-0005-0000-0000-000004050000}"/>
    <cellStyle name="Normal 3 4 3 2" xfId="1286" xr:uid="{00000000-0005-0000-0000-000005050000}"/>
    <cellStyle name="Normal 3 4 3 2 2" xfId="1287" xr:uid="{00000000-0005-0000-0000-000006050000}"/>
    <cellStyle name="Normal 3 4 3 3" xfId="1288" xr:uid="{00000000-0005-0000-0000-000007050000}"/>
    <cellStyle name="Normal 3 4 3 3 2" xfId="1289" xr:uid="{00000000-0005-0000-0000-000008050000}"/>
    <cellStyle name="Normal 3 4 3 4" xfId="1290" xr:uid="{00000000-0005-0000-0000-000009050000}"/>
    <cellStyle name="Normal 3 4 3 5" xfId="1291" xr:uid="{00000000-0005-0000-0000-00000A050000}"/>
    <cellStyle name="Normal 3 4 4" xfId="1292" xr:uid="{00000000-0005-0000-0000-00000B050000}"/>
    <cellStyle name="Normal 3 4 5" xfId="1293" xr:uid="{00000000-0005-0000-0000-00000C050000}"/>
    <cellStyle name="Normal 3 4 6" xfId="1294" xr:uid="{00000000-0005-0000-0000-00000D050000}"/>
    <cellStyle name="Normal 3 4 7" xfId="1295" xr:uid="{00000000-0005-0000-0000-00000E050000}"/>
    <cellStyle name="Normal 3 5" xfId="1296" xr:uid="{00000000-0005-0000-0000-00000F050000}"/>
    <cellStyle name="Normal 3 5 2" xfId="1297" xr:uid="{00000000-0005-0000-0000-000010050000}"/>
    <cellStyle name="Normal 3 5 2 2" xfId="1298" xr:uid="{00000000-0005-0000-0000-000011050000}"/>
    <cellStyle name="Normal 3 5 2 2 2" xfId="1299" xr:uid="{00000000-0005-0000-0000-000012050000}"/>
    <cellStyle name="Normal 3 5 2 2 2 2" xfId="1300" xr:uid="{00000000-0005-0000-0000-000013050000}"/>
    <cellStyle name="Normal 3 5 2 2 3" xfId="1301" xr:uid="{00000000-0005-0000-0000-000014050000}"/>
    <cellStyle name="Normal 3 5 2 2 3 2" xfId="1302" xr:uid="{00000000-0005-0000-0000-000015050000}"/>
    <cellStyle name="Normal 3 5 2 2 4" xfId="1303" xr:uid="{00000000-0005-0000-0000-000016050000}"/>
    <cellStyle name="Normal 3 5 2 2 5" xfId="1304" xr:uid="{00000000-0005-0000-0000-000017050000}"/>
    <cellStyle name="Normal 3 5 2 3" xfId="1305" xr:uid="{00000000-0005-0000-0000-000018050000}"/>
    <cellStyle name="Normal 3 5 2 3 2" xfId="1306" xr:uid="{00000000-0005-0000-0000-000019050000}"/>
    <cellStyle name="Normal 3 5 2 4" xfId="1307" xr:uid="{00000000-0005-0000-0000-00001A050000}"/>
    <cellStyle name="Normal 3 5 2 4 2" xfId="1308" xr:uid="{00000000-0005-0000-0000-00001B050000}"/>
    <cellStyle name="Normal 3 5 2 5" xfId="1309" xr:uid="{00000000-0005-0000-0000-00001C050000}"/>
    <cellStyle name="Normal 3 5 2 6" xfId="1310" xr:uid="{00000000-0005-0000-0000-00001D050000}"/>
    <cellStyle name="Normal 3 5 3" xfId="1311" xr:uid="{00000000-0005-0000-0000-00001E050000}"/>
    <cellStyle name="Normal 3 5 3 2" xfId="1312" xr:uid="{00000000-0005-0000-0000-00001F050000}"/>
    <cellStyle name="Normal 3 5 3 2 2" xfId="1313" xr:uid="{00000000-0005-0000-0000-000020050000}"/>
    <cellStyle name="Normal 3 5 3 3" xfId="1314" xr:uid="{00000000-0005-0000-0000-000021050000}"/>
    <cellStyle name="Normal 3 5 3 3 2" xfId="1315" xr:uid="{00000000-0005-0000-0000-000022050000}"/>
    <cellStyle name="Normal 3 5 3 4" xfId="1316" xr:uid="{00000000-0005-0000-0000-000023050000}"/>
    <cellStyle name="Normal 3 5 3 5" xfId="1317" xr:uid="{00000000-0005-0000-0000-000024050000}"/>
    <cellStyle name="Normal 3 5 4" xfId="1318" xr:uid="{00000000-0005-0000-0000-000025050000}"/>
    <cellStyle name="Normal 3 5 5" xfId="1319" xr:uid="{00000000-0005-0000-0000-000026050000}"/>
    <cellStyle name="Normal 3 5 6" xfId="1320" xr:uid="{00000000-0005-0000-0000-000027050000}"/>
    <cellStyle name="Normal 3 5 7" xfId="1321" xr:uid="{00000000-0005-0000-0000-000028050000}"/>
    <cellStyle name="Normal 3 6" xfId="1322" xr:uid="{00000000-0005-0000-0000-000029050000}"/>
    <cellStyle name="Normal 3 6 2" xfId="1323" xr:uid="{00000000-0005-0000-0000-00002A050000}"/>
    <cellStyle name="Normal 3 6 2 2" xfId="1324" xr:uid="{00000000-0005-0000-0000-00002B050000}"/>
    <cellStyle name="Normal 3 6 2 2 2" xfId="1325" xr:uid="{00000000-0005-0000-0000-00002C050000}"/>
    <cellStyle name="Normal 3 6 2 2 2 2" xfId="1326" xr:uid="{00000000-0005-0000-0000-00002D050000}"/>
    <cellStyle name="Normal 3 6 2 2 3" xfId="1327" xr:uid="{00000000-0005-0000-0000-00002E050000}"/>
    <cellStyle name="Normal 3 6 2 2 3 2" xfId="1328" xr:uid="{00000000-0005-0000-0000-00002F050000}"/>
    <cellStyle name="Normal 3 6 2 2 4" xfId="1329" xr:uid="{00000000-0005-0000-0000-000030050000}"/>
    <cellStyle name="Normal 3 6 2 2 5" xfId="1330" xr:uid="{00000000-0005-0000-0000-000031050000}"/>
    <cellStyle name="Normal 3 6 2 3" xfId="1331" xr:uid="{00000000-0005-0000-0000-000032050000}"/>
    <cellStyle name="Normal 3 6 2 3 2" xfId="1332" xr:uid="{00000000-0005-0000-0000-000033050000}"/>
    <cellStyle name="Normal 3 6 2 4" xfId="1333" xr:uid="{00000000-0005-0000-0000-000034050000}"/>
    <cellStyle name="Normal 3 6 2 4 2" xfId="1334" xr:uid="{00000000-0005-0000-0000-000035050000}"/>
    <cellStyle name="Normal 3 6 2 5" xfId="1335" xr:uid="{00000000-0005-0000-0000-000036050000}"/>
    <cellStyle name="Normal 3 6 2 6" xfId="1336" xr:uid="{00000000-0005-0000-0000-000037050000}"/>
    <cellStyle name="Normal 3 6 3" xfId="1337" xr:uid="{00000000-0005-0000-0000-000038050000}"/>
    <cellStyle name="Normal 3 6 3 2" xfId="1338" xr:uid="{00000000-0005-0000-0000-000039050000}"/>
    <cellStyle name="Normal 3 6 3 2 2" xfId="1339" xr:uid="{00000000-0005-0000-0000-00003A050000}"/>
    <cellStyle name="Normal 3 6 3 3" xfId="1340" xr:uid="{00000000-0005-0000-0000-00003B050000}"/>
    <cellStyle name="Normal 3 6 3 3 2" xfId="1341" xr:uid="{00000000-0005-0000-0000-00003C050000}"/>
    <cellStyle name="Normal 3 6 3 4" xfId="1342" xr:uid="{00000000-0005-0000-0000-00003D050000}"/>
    <cellStyle name="Normal 3 6 3 5" xfId="1343" xr:uid="{00000000-0005-0000-0000-00003E050000}"/>
    <cellStyle name="Normal 3 6 4" xfId="1344" xr:uid="{00000000-0005-0000-0000-00003F050000}"/>
    <cellStyle name="Normal 3 6 5" xfId="1345" xr:uid="{00000000-0005-0000-0000-000040050000}"/>
    <cellStyle name="Normal 3 6 6" xfId="1346" xr:uid="{00000000-0005-0000-0000-000041050000}"/>
    <cellStyle name="Normal 3 6 7" xfId="1347" xr:uid="{00000000-0005-0000-0000-000042050000}"/>
    <cellStyle name="Normal 3 7" xfId="1348" xr:uid="{00000000-0005-0000-0000-000043050000}"/>
    <cellStyle name="Normal 3 7 2" xfId="1349" xr:uid="{00000000-0005-0000-0000-000044050000}"/>
    <cellStyle name="Normal 3 7 2 2" xfId="1350" xr:uid="{00000000-0005-0000-0000-000045050000}"/>
    <cellStyle name="Normal 3 7 2 2 2" xfId="1351" xr:uid="{00000000-0005-0000-0000-000046050000}"/>
    <cellStyle name="Normal 3 7 2 2 2 2" xfId="1352" xr:uid="{00000000-0005-0000-0000-000047050000}"/>
    <cellStyle name="Normal 3 7 2 2 3" xfId="1353" xr:uid="{00000000-0005-0000-0000-000048050000}"/>
    <cellStyle name="Normal 3 7 2 2 3 2" xfId="1354" xr:uid="{00000000-0005-0000-0000-000049050000}"/>
    <cellStyle name="Normal 3 7 2 2 4" xfId="1355" xr:uid="{00000000-0005-0000-0000-00004A050000}"/>
    <cellStyle name="Normal 3 7 2 2 5" xfId="1356" xr:uid="{00000000-0005-0000-0000-00004B050000}"/>
    <cellStyle name="Normal 3 7 2 3" xfId="1357" xr:uid="{00000000-0005-0000-0000-00004C050000}"/>
    <cellStyle name="Normal 3 7 2 3 2" xfId="1358" xr:uid="{00000000-0005-0000-0000-00004D050000}"/>
    <cellStyle name="Normal 3 7 2 4" xfId="1359" xr:uid="{00000000-0005-0000-0000-00004E050000}"/>
    <cellStyle name="Normal 3 7 2 4 2" xfId="1360" xr:uid="{00000000-0005-0000-0000-00004F050000}"/>
    <cellStyle name="Normal 3 7 2 5" xfId="1361" xr:uid="{00000000-0005-0000-0000-000050050000}"/>
    <cellStyle name="Normal 3 7 2 6" xfId="1362" xr:uid="{00000000-0005-0000-0000-000051050000}"/>
    <cellStyle name="Normal 3 7 3" xfId="1363" xr:uid="{00000000-0005-0000-0000-000052050000}"/>
    <cellStyle name="Normal 3 7 3 2" xfId="1364" xr:uid="{00000000-0005-0000-0000-000053050000}"/>
    <cellStyle name="Normal 3 7 3 2 2" xfId="1365" xr:uid="{00000000-0005-0000-0000-000054050000}"/>
    <cellStyle name="Normal 3 7 3 3" xfId="1366" xr:uid="{00000000-0005-0000-0000-000055050000}"/>
    <cellStyle name="Normal 3 7 3 3 2" xfId="1367" xr:uid="{00000000-0005-0000-0000-000056050000}"/>
    <cellStyle name="Normal 3 7 3 4" xfId="1368" xr:uid="{00000000-0005-0000-0000-000057050000}"/>
    <cellStyle name="Normal 3 7 3 5" xfId="1369" xr:uid="{00000000-0005-0000-0000-000058050000}"/>
    <cellStyle name="Normal 3 7 4" xfId="1370" xr:uid="{00000000-0005-0000-0000-000059050000}"/>
    <cellStyle name="Normal 3 7 5" xfId="1371" xr:uid="{00000000-0005-0000-0000-00005A050000}"/>
    <cellStyle name="Normal 3 7 6" xfId="1372" xr:uid="{00000000-0005-0000-0000-00005B050000}"/>
    <cellStyle name="Normal 3 7 7" xfId="1373" xr:uid="{00000000-0005-0000-0000-00005C050000}"/>
    <cellStyle name="Normal 3 8" xfId="1374" xr:uid="{00000000-0005-0000-0000-00005D050000}"/>
    <cellStyle name="Normal 3 8 2" xfId="1375" xr:uid="{00000000-0005-0000-0000-00005E050000}"/>
    <cellStyle name="Normal 3 8 2 2" xfId="1376" xr:uid="{00000000-0005-0000-0000-00005F050000}"/>
    <cellStyle name="Normal 3 8 2 2 2" xfId="1377" xr:uid="{00000000-0005-0000-0000-000060050000}"/>
    <cellStyle name="Normal 3 8 2 2 2 2" xfId="1378" xr:uid="{00000000-0005-0000-0000-000061050000}"/>
    <cellStyle name="Normal 3 8 2 2 3" xfId="1379" xr:uid="{00000000-0005-0000-0000-000062050000}"/>
    <cellStyle name="Normal 3 8 2 2 3 2" xfId="1380" xr:uid="{00000000-0005-0000-0000-000063050000}"/>
    <cellStyle name="Normal 3 8 2 2 4" xfId="1381" xr:uid="{00000000-0005-0000-0000-000064050000}"/>
    <cellStyle name="Normal 3 8 2 2 5" xfId="1382" xr:uid="{00000000-0005-0000-0000-000065050000}"/>
    <cellStyle name="Normal 3 8 2 3" xfId="1383" xr:uid="{00000000-0005-0000-0000-000066050000}"/>
    <cellStyle name="Normal 3 8 2 3 2" xfId="1384" xr:uid="{00000000-0005-0000-0000-000067050000}"/>
    <cellStyle name="Normal 3 8 2 4" xfId="1385" xr:uid="{00000000-0005-0000-0000-000068050000}"/>
    <cellStyle name="Normal 3 8 2 4 2" xfId="1386" xr:uid="{00000000-0005-0000-0000-000069050000}"/>
    <cellStyle name="Normal 3 8 2 5" xfId="1387" xr:uid="{00000000-0005-0000-0000-00006A050000}"/>
    <cellStyle name="Normal 3 8 2 6" xfId="1388" xr:uid="{00000000-0005-0000-0000-00006B050000}"/>
    <cellStyle name="Normal 3 8 3" xfId="1389" xr:uid="{00000000-0005-0000-0000-00006C050000}"/>
    <cellStyle name="Normal 3 8 3 2" xfId="1390" xr:uid="{00000000-0005-0000-0000-00006D050000}"/>
    <cellStyle name="Normal 3 8 3 2 2" xfId="1391" xr:uid="{00000000-0005-0000-0000-00006E050000}"/>
    <cellStyle name="Normal 3 8 3 3" xfId="1392" xr:uid="{00000000-0005-0000-0000-00006F050000}"/>
    <cellStyle name="Normal 3 8 3 3 2" xfId="1393" xr:uid="{00000000-0005-0000-0000-000070050000}"/>
    <cellStyle name="Normal 3 8 3 4" xfId="1394" xr:uid="{00000000-0005-0000-0000-000071050000}"/>
    <cellStyle name="Normal 3 8 3 5" xfId="1395" xr:uid="{00000000-0005-0000-0000-000072050000}"/>
    <cellStyle name="Normal 3 8 4" xfId="1396" xr:uid="{00000000-0005-0000-0000-000073050000}"/>
    <cellStyle name="Normal 3 8 5" xfId="1397" xr:uid="{00000000-0005-0000-0000-000074050000}"/>
    <cellStyle name="Normal 3 8 6" xfId="1398" xr:uid="{00000000-0005-0000-0000-000075050000}"/>
    <cellStyle name="Normal 3 8 7" xfId="1399" xr:uid="{00000000-0005-0000-0000-000076050000}"/>
    <cellStyle name="Normal 3 9" xfId="1400" xr:uid="{00000000-0005-0000-0000-000077050000}"/>
    <cellStyle name="Normal 3 9 2" xfId="1401" xr:uid="{00000000-0005-0000-0000-000078050000}"/>
    <cellStyle name="Normal 3 9 2 2" xfId="1402" xr:uid="{00000000-0005-0000-0000-000079050000}"/>
    <cellStyle name="Normal 3 9 2 2 2" xfId="1403" xr:uid="{00000000-0005-0000-0000-00007A050000}"/>
    <cellStyle name="Normal 3 9 2 2 2 2" xfId="1404" xr:uid="{00000000-0005-0000-0000-00007B050000}"/>
    <cellStyle name="Normal 3 9 2 2 3" xfId="1405" xr:uid="{00000000-0005-0000-0000-00007C050000}"/>
    <cellStyle name="Normal 3 9 2 2 3 2" xfId="1406" xr:uid="{00000000-0005-0000-0000-00007D050000}"/>
    <cellStyle name="Normal 3 9 2 2 4" xfId="1407" xr:uid="{00000000-0005-0000-0000-00007E050000}"/>
    <cellStyle name="Normal 3 9 2 2 5" xfId="1408" xr:uid="{00000000-0005-0000-0000-00007F050000}"/>
    <cellStyle name="Normal 3 9 2 3" xfId="1409" xr:uid="{00000000-0005-0000-0000-000080050000}"/>
    <cellStyle name="Normal 3 9 2 3 2" xfId="1410" xr:uid="{00000000-0005-0000-0000-000081050000}"/>
    <cellStyle name="Normal 3 9 2 4" xfId="1411" xr:uid="{00000000-0005-0000-0000-000082050000}"/>
    <cellStyle name="Normal 3 9 2 4 2" xfId="1412" xr:uid="{00000000-0005-0000-0000-000083050000}"/>
    <cellStyle name="Normal 3 9 2 5" xfId="1413" xr:uid="{00000000-0005-0000-0000-000084050000}"/>
    <cellStyle name="Normal 3 9 2 6" xfId="1414" xr:uid="{00000000-0005-0000-0000-000085050000}"/>
    <cellStyle name="Normal 3 9 3" xfId="1415" xr:uid="{00000000-0005-0000-0000-000086050000}"/>
    <cellStyle name="Normal 3 9 3 2" xfId="1416" xr:uid="{00000000-0005-0000-0000-000087050000}"/>
    <cellStyle name="Normal 3 9 3 2 2" xfId="1417" xr:uid="{00000000-0005-0000-0000-000088050000}"/>
    <cellStyle name="Normal 3 9 3 3" xfId="1418" xr:uid="{00000000-0005-0000-0000-000089050000}"/>
    <cellStyle name="Normal 3 9 3 3 2" xfId="1419" xr:uid="{00000000-0005-0000-0000-00008A050000}"/>
    <cellStyle name="Normal 3 9 3 4" xfId="1420" xr:uid="{00000000-0005-0000-0000-00008B050000}"/>
    <cellStyle name="Normal 3 9 3 5" xfId="1421" xr:uid="{00000000-0005-0000-0000-00008C050000}"/>
    <cellStyle name="Normal 3 9 4" xfId="1422" xr:uid="{00000000-0005-0000-0000-00008D050000}"/>
    <cellStyle name="Normal 3 9 5" xfId="1423" xr:uid="{00000000-0005-0000-0000-00008E050000}"/>
    <cellStyle name="Normal 3 9 6" xfId="1424" xr:uid="{00000000-0005-0000-0000-00008F050000}"/>
    <cellStyle name="Normal 3 9 7" xfId="1425" xr:uid="{00000000-0005-0000-0000-000090050000}"/>
    <cellStyle name="Normal 30" xfId="1426" xr:uid="{00000000-0005-0000-0000-000091050000}"/>
    <cellStyle name="Normal 31" xfId="1427" xr:uid="{00000000-0005-0000-0000-000092050000}"/>
    <cellStyle name="Normal 32" xfId="1428" xr:uid="{00000000-0005-0000-0000-000093050000}"/>
    <cellStyle name="Normal 33" xfId="1429" xr:uid="{00000000-0005-0000-0000-000094050000}"/>
    <cellStyle name="Normal 34" xfId="1430" xr:uid="{00000000-0005-0000-0000-000095050000}"/>
    <cellStyle name="Normal 35" xfId="1841" xr:uid="{658D711E-D0F2-456A-A851-BB2238317E6C}"/>
    <cellStyle name="Normal 36" xfId="1843" xr:uid="{FFFAA799-EC8F-4C88-8931-A28BEB902A72}"/>
    <cellStyle name="Normal 37" xfId="1846" xr:uid="{A992C6E2-26D0-44FA-954A-7D17137099A0}"/>
    <cellStyle name="Normal 38" xfId="1848" xr:uid="{DCF6AAEE-B261-4675-8CC5-769B98C42DC6}"/>
    <cellStyle name="Normal 39" xfId="1853" xr:uid="{B3C8FA90-7C2E-405E-A3C3-16A4246C3A6C}"/>
    <cellStyle name="Normal 4" xfId="10" xr:uid="{00000000-0005-0000-0000-000096050000}"/>
    <cellStyle name="Normal 4 10" xfId="1431" xr:uid="{00000000-0005-0000-0000-000097050000}"/>
    <cellStyle name="Normal 4 2" xfId="1432" xr:uid="{00000000-0005-0000-0000-000098050000}"/>
    <cellStyle name="Normal 4 2 2" xfId="1433" xr:uid="{00000000-0005-0000-0000-000099050000}"/>
    <cellStyle name="Normal 4 2 2 2" xfId="1434" xr:uid="{00000000-0005-0000-0000-00009A050000}"/>
    <cellStyle name="Normal 4 2 2 2 2" xfId="1435" xr:uid="{00000000-0005-0000-0000-00009B050000}"/>
    <cellStyle name="Normal 4 2 2 3" xfId="1436" xr:uid="{00000000-0005-0000-0000-00009C050000}"/>
    <cellStyle name="Normal 4 2 2 4" xfId="1437" xr:uid="{00000000-0005-0000-0000-00009D050000}"/>
    <cellStyle name="Normal 4 2 2 4 2" xfId="1438" xr:uid="{00000000-0005-0000-0000-00009E050000}"/>
    <cellStyle name="Normal 4 2 2 5" xfId="1439" xr:uid="{00000000-0005-0000-0000-00009F050000}"/>
    <cellStyle name="Normal 4 2 2 6" xfId="1440" xr:uid="{00000000-0005-0000-0000-0000A0050000}"/>
    <cellStyle name="Normal 4 2 3" xfId="1441" xr:uid="{00000000-0005-0000-0000-0000A1050000}"/>
    <cellStyle name="Normal 4 2 4" xfId="1442" xr:uid="{00000000-0005-0000-0000-0000A2050000}"/>
    <cellStyle name="Normal 4 2 5" xfId="1443" xr:uid="{00000000-0005-0000-0000-0000A3050000}"/>
    <cellStyle name="Normal 4 2 6" xfId="1444" xr:uid="{00000000-0005-0000-0000-0000A4050000}"/>
    <cellStyle name="Normal 4 2 7" xfId="1445" xr:uid="{00000000-0005-0000-0000-0000A5050000}"/>
    <cellStyle name="Normal 4 3" xfId="1446" xr:uid="{00000000-0005-0000-0000-0000A6050000}"/>
    <cellStyle name="Normal 4 3 2" xfId="1447" xr:uid="{00000000-0005-0000-0000-0000A7050000}"/>
    <cellStyle name="Normal 4 3 2 2" xfId="1448" xr:uid="{00000000-0005-0000-0000-0000A8050000}"/>
    <cellStyle name="Normal 4 3 2 3" xfId="1449" xr:uid="{00000000-0005-0000-0000-0000A9050000}"/>
    <cellStyle name="Normal 4 3 3" xfId="1450" xr:uid="{00000000-0005-0000-0000-0000AA050000}"/>
    <cellStyle name="Normal 4 3 4" xfId="1451" xr:uid="{00000000-0005-0000-0000-0000AB050000}"/>
    <cellStyle name="Normal 4 3 4 2" xfId="1452" xr:uid="{00000000-0005-0000-0000-0000AC050000}"/>
    <cellStyle name="Normal 4 3 5" xfId="1453" xr:uid="{00000000-0005-0000-0000-0000AD050000}"/>
    <cellStyle name="Normal 4 3 6" xfId="1454" xr:uid="{00000000-0005-0000-0000-0000AE050000}"/>
    <cellStyle name="Normal 4 4" xfId="1455" xr:uid="{00000000-0005-0000-0000-0000AF050000}"/>
    <cellStyle name="Normal 4 4 2" xfId="1456" xr:uid="{00000000-0005-0000-0000-0000B0050000}"/>
    <cellStyle name="Normal 4 4 3" xfId="1457" xr:uid="{00000000-0005-0000-0000-0000B1050000}"/>
    <cellStyle name="Normal 4 4 4" xfId="1458" xr:uid="{00000000-0005-0000-0000-0000B2050000}"/>
    <cellStyle name="Normal 4 5" xfId="1459" xr:uid="{00000000-0005-0000-0000-0000B3050000}"/>
    <cellStyle name="Normal 4 5 2" xfId="1460" xr:uid="{00000000-0005-0000-0000-0000B4050000}"/>
    <cellStyle name="Normal 4 6" xfId="1461" xr:uid="{00000000-0005-0000-0000-0000B5050000}"/>
    <cellStyle name="Normal 4 7" xfId="1462" xr:uid="{00000000-0005-0000-0000-0000B6050000}"/>
    <cellStyle name="Normal 4 8" xfId="1463" xr:uid="{00000000-0005-0000-0000-0000B7050000}"/>
    <cellStyle name="Normal 4 9" xfId="1464" xr:uid="{00000000-0005-0000-0000-0000B8050000}"/>
    <cellStyle name="Normal 5" xfId="20" xr:uid="{00000000-0005-0000-0000-0000B9050000}"/>
    <cellStyle name="Normal 5 10" xfId="1465" xr:uid="{00000000-0005-0000-0000-0000BA050000}"/>
    <cellStyle name="Normal 5 2" xfId="1466" xr:uid="{00000000-0005-0000-0000-0000BB050000}"/>
    <cellStyle name="Normal 5 2 2" xfId="1467" xr:uid="{00000000-0005-0000-0000-0000BC050000}"/>
    <cellStyle name="Normal 5 2 2 2" xfId="1468" xr:uid="{00000000-0005-0000-0000-0000BD050000}"/>
    <cellStyle name="Normal 5 2 2 3" xfId="1469" xr:uid="{00000000-0005-0000-0000-0000BE050000}"/>
    <cellStyle name="Normal 5 2 3" xfId="1470" xr:uid="{00000000-0005-0000-0000-0000BF050000}"/>
    <cellStyle name="Normal 5 2 3 2" xfId="1471" xr:uid="{00000000-0005-0000-0000-0000C0050000}"/>
    <cellStyle name="Normal 5 2 3 3" xfId="1472" xr:uid="{00000000-0005-0000-0000-0000C1050000}"/>
    <cellStyle name="Normal 5 2 4" xfId="1473" xr:uid="{00000000-0005-0000-0000-0000C2050000}"/>
    <cellStyle name="Normal 5 2 5" xfId="1474" xr:uid="{00000000-0005-0000-0000-0000C3050000}"/>
    <cellStyle name="Normal 5 2 6" xfId="1475" xr:uid="{00000000-0005-0000-0000-0000C4050000}"/>
    <cellStyle name="Normal 5 3" xfId="1476" xr:uid="{00000000-0005-0000-0000-0000C5050000}"/>
    <cellStyle name="Normal 5 3 2" xfId="1477" xr:uid="{00000000-0005-0000-0000-0000C6050000}"/>
    <cellStyle name="Normal 5 3 3" xfId="1478" xr:uid="{00000000-0005-0000-0000-0000C7050000}"/>
    <cellStyle name="Normal 5 4" xfId="1479" xr:uid="{00000000-0005-0000-0000-0000C8050000}"/>
    <cellStyle name="Normal 5 4 2" xfId="1480" xr:uid="{00000000-0005-0000-0000-0000C9050000}"/>
    <cellStyle name="Normal 5 4 3" xfId="1481" xr:uid="{00000000-0005-0000-0000-0000CA050000}"/>
    <cellStyle name="Normal 5 4 4" xfId="1482" xr:uid="{00000000-0005-0000-0000-0000CB050000}"/>
    <cellStyle name="Normal 5 5" xfId="1483" xr:uid="{00000000-0005-0000-0000-0000CC050000}"/>
    <cellStyle name="Normal 5 6" xfId="1484" xr:uid="{00000000-0005-0000-0000-0000CD050000}"/>
    <cellStyle name="Normal 5 7" xfId="1485" xr:uid="{00000000-0005-0000-0000-0000CE050000}"/>
    <cellStyle name="Normal 5 8" xfId="1486" xr:uid="{00000000-0005-0000-0000-0000CF050000}"/>
    <cellStyle name="Normal 5 9" xfId="1487" xr:uid="{00000000-0005-0000-0000-0000D0050000}"/>
    <cellStyle name="Normal 6" xfId="21" xr:uid="{00000000-0005-0000-0000-0000D1050000}"/>
    <cellStyle name="Normal 6 2" xfId="1489" xr:uid="{00000000-0005-0000-0000-0000D2050000}"/>
    <cellStyle name="Normal 6 2 2" xfId="1490" xr:uid="{00000000-0005-0000-0000-0000D3050000}"/>
    <cellStyle name="Normal 6 3" xfId="1491" xr:uid="{00000000-0005-0000-0000-0000D4050000}"/>
    <cellStyle name="Normal 6 3 2" xfId="1492" xr:uid="{00000000-0005-0000-0000-0000D5050000}"/>
    <cellStyle name="Normal 6 3 2 2" xfId="1493" xr:uid="{00000000-0005-0000-0000-0000D6050000}"/>
    <cellStyle name="Normal 6 3 3" xfId="1494" xr:uid="{00000000-0005-0000-0000-0000D7050000}"/>
    <cellStyle name="Normal 6 4" xfId="1495" xr:uid="{00000000-0005-0000-0000-0000D8050000}"/>
    <cellStyle name="Normal 6 4 2" xfId="1496" xr:uid="{00000000-0005-0000-0000-0000D9050000}"/>
    <cellStyle name="Normal 6 4 2 2" xfId="1497" xr:uid="{00000000-0005-0000-0000-0000DA050000}"/>
    <cellStyle name="Normal 6 4 3" xfId="1498" xr:uid="{00000000-0005-0000-0000-0000DB050000}"/>
    <cellStyle name="Normal 6 5" xfId="1499" xr:uid="{00000000-0005-0000-0000-0000DC050000}"/>
    <cellStyle name="Normal 6 6" xfId="1500" xr:uid="{00000000-0005-0000-0000-0000DD050000}"/>
    <cellStyle name="Normal 6 7" xfId="1501" xr:uid="{00000000-0005-0000-0000-0000DE050000}"/>
    <cellStyle name="Normal 6 8" xfId="1488" xr:uid="{00000000-0005-0000-0000-0000DF050000}"/>
    <cellStyle name="Normal 7" xfId="24" xr:uid="{00000000-0005-0000-0000-0000E0050000}"/>
    <cellStyle name="Normal 7 2" xfId="1503" xr:uid="{00000000-0005-0000-0000-0000E1050000}"/>
    <cellStyle name="Normal 7 2 2" xfId="1504" xr:uid="{00000000-0005-0000-0000-0000E2050000}"/>
    <cellStyle name="Normal 7 2 2 2" xfId="1505" xr:uid="{00000000-0005-0000-0000-0000E3050000}"/>
    <cellStyle name="Normal 7 2 3" xfId="1506" xr:uid="{00000000-0005-0000-0000-0000E4050000}"/>
    <cellStyle name="Normal 7 3" xfId="1507" xr:uid="{00000000-0005-0000-0000-0000E5050000}"/>
    <cellStyle name="Normal 7 3 2" xfId="1508" xr:uid="{00000000-0005-0000-0000-0000E6050000}"/>
    <cellStyle name="Normal 7 4" xfId="1509" xr:uid="{00000000-0005-0000-0000-0000E7050000}"/>
    <cellStyle name="Normal 7 4 2" xfId="1510" xr:uid="{00000000-0005-0000-0000-0000E8050000}"/>
    <cellStyle name="Normal 7 5" xfId="1511" xr:uid="{00000000-0005-0000-0000-0000E9050000}"/>
    <cellStyle name="Normal 7 6" xfId="1502" xr:uid="{00000000-0005-0000-0000-0000EA050000}"/>
    <cellStyle name="Normal 8" xfId="27" xr:uid="{00000000-0005-0000-0000-0000EB050000}"/>
    <cellStyle name="Normal 8 2" xfId="1512" xr:uid="{00000000-0005-0000-0000-0000EC050000}"/>
    <cellStyle name="Normal 9" xfId="1513" xr:uid="{00000000-0005-0000-0000-0000ED050000}"/>
    <cellStyle name="Normal 9 2" xfId="1514" xr:uid="{00000000-0005-0000-0000-0000EE050000}"/>
    <cellStyle name="Normal 9 2 2" xfId="1515" xr:uid="{00000000-0005-0000-0000-0000EF050000}"/>
    <cellStyle name="Normal 9 3" xfId="1516" xr:uid="{00000000-0005-0000-0000-0000F0050000}"/>
    <cellStyle name="NORMAL." xfId="1517" xr:uid="{00000000-0005-0000-0000-0000F1050000}"/>
    <cellStyle name="Note 10" xfId="1518" xr:uid="{00000000-0005-0000-0000-0000F2050000}"/>
    <cellStyle name="Note 10 2" xfId="1519" xr:uid="{00000000-0005-0000-0000-0000F3050000}"/>
    <cellStyle name="Note 2" xfId="1520" xr:uid="{00000000-0005-0000-0000-0000F4050000}"/>
    <cellStyle name="Note 2 2" xfId="1521" xr:uid="{00000000-0005-0000-0000-0000F5050000}"/>
    <cellStyle name="Note 2 2 2" xfId="1522" xr:uid="{00000000-0005-0000-0000-0000F6050000}"/>
    <cellStyle name="Note 2 2 2 2" xfId="1523" xr:uid="{00000000-0005-0000-0000-0000F7050000}"/>
    <cellStyle name="Note 2 2 2 3" xfId="1524" xr:uid="{00000000-0005-0000-0000-0000F8050000}"/>
    <cellStyle name="Note 2 2 2 4" xfId="1525" xr:uid="{00000000-0005-0000-0000-0000F9050000}"/>
    <cellStyle name="Note 2 2 3" xfId="1526" xr:uid="{00000000-0005-0000-0000-0000FA050000}"/>
    <cellStyle name="Note 2 2 3 2" xfId="1527" xr:uid="{00000000-0005-0000-0000-0000FB050000}"/>
    <cellStyle name="Note 2 2 3 3" xfId="1528" xr:uid="{00000000-0005-0000-0000-0000FC050000}"/>
    <cellStyle name="Note 2 2 4" xfId="1529" xr:uid="{00000000-0005-0000-0000-0000FD050000}"/>
    <cellStyle name="Note 2 2 5" xfId="1530" xr:uid="{00000000-0005-0000-0000-0000FE050000}"/>
    <cellStyle name="Note 2 2 6" xfId="1531" xr:uid="{00000000-0005-0000-0000-0000FF050000}"/>
    <cellStyle name="Note 2 3" xfId="1532" xr:uid="{00000000-0005-0000-0000-000000060000}"/>
    <cellStyle name="Note 2 3 2" xfId="1533" xr:uid="{00000000-0005-0000-0000-000001060000}"/>
    <cellStyle name="Note 2 3 3" xfId="1534" xr:uid="{00000000-0005-0000-0000-000002060000}"/>
    <cellStyle name="Note 2 3 4" xfId="1535" xr:uid="{00000000-0005-0000-0000-000003060000}"/>
    <cellStyle name="Note 2 3 5" xfId="1536" xr:uid="{00000000-0005-0000-0000-000004060000}"/>
    <cellStyle name="Note 2 4" xfId="1537" xr:uid="{00000000-0005-0000-0000-000005060000}"/>
    <cellStyle name="Note 2 4 2" xfId="1538" xr:uid="{00000000-0005-0000-0000-000006060000}"/>
    <cellStyle name="Note 2 4 3" xfId="1539" xr:uid="{00000000-0005-0000-0000-000007060000}"/>
    <cellStyle name="Note 2 4 4" xfId="1540" xr:uid="{00000000-0005-0000-0000-000008060000}"/>
    <cellStyle name="Note 2 5" xfId="1541" xr:uid="{00000000-0005-0000-0000-000009060000}"/>
    <cellStyle name="Note 2 6" xfId="1542" xr:uid="{00000000-0005-0000-0000-00000A060000}"/>
    <cellStyle name="Note 2 7" xfId="1543" xr:uid="{00000000-0005-0000-0000-00000B060000}"/>
    <cellStyle name="Note 2 8" xfId="1544" xr:uid="{00000000-0005-0000-0000-00000C060000}"/>
    <cellStyle name="Note 2 9" xfId="1545" xr:uid="{00000000-0005-0000-0000-00000D060000}"/>
    <cellStyle name="Note 3" xfId="1546" xr:uid="{00000000-0005-0000-0000-00000E060000}"/>
    <cellStyle name="Note 3 2" xfId="1547" xr:uid="{00000000-0005-0000-0000-00000F060000}"/>
    <cellStyle name="Note 3 2 2" xfId="1548" xr:uid="{00000000-0005-0000-0000-000010060000}"/>
    <cellStyle name="Note 3 2 2 2" xfId="1549" xr:uid="{00000000-0005-0000-0000-000011060000}"/>
    <cellStyle name="Note 3 2 3" xfId="1550" xr:uid="{00000000-0005-0000-0000-000012060000}"/>
    <cellStyle name="Note 3 2 4" xfId="1551" xr:uid="{00000000-0005-0000-0000-000013060000}"/>
    <cellStyle name="Note 3 3" xfId="1552" xr:uid="{00000000-0005-0000-0000-000014060000}"/>
    <cellStyle name="Note 3 4" xfId="1553" xr:uid="{00000000-0005-0000-0000-000015060000}"/>
    <cellStyle name="Note 3 4 2" xfId="1554" xr:uid="{00000000-0005-0000-0000-000016060000}"/>
    <cellStyle name="Note 3 5" xfId="1555" xr:uid="{00000000-0005-0000-0000-000017060000}"/>
    <cellStyle name="Note 3 6" xfId="1556" xr:uid="{00000000-0005-0000-0000-000018060000}"/>
    <cellStyle name="Note 3 7" xfId="1557" xr:uid="{00000000-0005-0000-0000-000019060000}"/>
    <cellStyle name="Note 4" xfId="1558" xr:uid="{00000000-0005-0000-0000-00001A060000}"/>
    <cellStyle name="Note 4 2" xfId="1559" xr:uid="{00000000-0005-0000-0000-00001B060000}"/>
    <cellStyle name="Note 4 3" xfId="1560" xr:uid="{00000000-0005-0000-0000-00001C060000}"/>
    <cellStyle name="Note 4 4" xfId="1561" xr:uid="{00000000-0005-0000-0000-00001D060000}"/>
    <cellStyle name="Note 5" xfId="1562" xr:uid="{00000000-0005-0000-0000-00001E060000}"/>
    <cellStyle name="Note 5 2" xfId="1563" xr:uid="{00000000-0005-0000-0000-00001F060000}"/>
    <cellStyle name="Note 5 3" xfId="1564" xr:uid="{00000000-0005-0000-0000-000020060000}"/>
    <cellStyle name="Note 5 4" xfId="1565" xr:uid="{00000000-0005-0000-0000-000021060000}"/>
    <cellStyle name="Note 6" xfId="1566" xr:uid="{00000000-0005-0000-0000-000022060000}"/>
    <cellStyle name="Note 6 2" xfId="1567" xr:uid="{00000000-0005-0000-0000-000023060000}"/>
    <cellStyle name="Note 6 3" xfId="1568" xr:uid="{00000000-0005-0000-0000-000024060000}"/>
    <cellStyle name="Note 6 4" xfId="1569" xr:uid="{00000000-0005-0000-0000-000025060000}"/>
    <cellStyle name="Note 7" xfId="1570" xr:uid="{00000000-0005-0000-0000-000026060000}"/>
    <cellStyle name="Note 7 2" xfId="1571" xr:uid="{00000000-0005-0000-0000-000027060000}"/>
    <cellStyle name="Note 7 3" xfId="1572" xr:uid="{00000000-0005-0000-0000-000028060000}"/>
    <cellStyle name="Note 7 4" xfId="1573" xr:uid="{00000000-0005-0000-0000-000029060000}"/>
    <cellStyle name="Note 8" xfId="1574" xr:uid="{00000000-0005-0000-0000-00002A060000}"/>
    <cellStyle name="Note 8 2" xfId="1575" xr:uid="{00000000-0005-0000-0000-00002B060000}"/>
    <cellStyle name="Note 8 3" xfId="1576" xr:uid="{00000000-0005-0000-0000-00002C060000}"/>
    <cellStyle name="Note 8 4" xfId="1577" xr:uid="{00000000-0005-0000-0000-00002D060000}"/>
    <cellStyle name="Note 9" xfId="1578" xr:uid="{00000000-0005-0000-0000-00002E060000}"/>
    <cellStyle name="Note 9 2" xfId="1579" xr:uid="{00000000-0005-0000-0000-00002F060000}"/>
    <cellStyle name="Note 9 3" xfId="1580" xr:uid="{00000000-0005-0000-0000-000030060000}"/>
    <cellStyle name="Note 9 4" xfId="1581" xr:uid="{00000000-0005-0000-0000-000031060000}"/>
    <cellStyle name="Output 10" xfId="1582" xr:uid="{00000000-0005-0000-0000-000032060000}"/>
    <cellStyle name="Output 10 2" xfId="1583" xr:uid="{00000000-0005-0000-0000-000033060000}"/>
    <cellStyle name="Output 2" xfId="1584" xr:uid="{00000000-0005-0000-0000-000034060000}"/>
    <cellStyle name="Output 2 2" xfId="1585" xr:uid="{00000000-0005-0000-0000-000035060000}"/>
    <cellStyle name="Output 2 3" xfId="1586" xr:uid="{00000000-0005-0000-0000-000036060000}"/>
    <cellStyle name="Output 2 4" xfId="1587" xr:uid="{00000000-0005-0000-0000-000037060000}"/>
    <cellStyle name="Output 2 5" xfId="1588" xr:uid="{00000000-0005-0000-0000-000038060000}"/>
    <cellStyle name="Output 3" xfId="1589" xr:uid="{00000000-0005-0000-0000-000039060000}"/>
    <cellStyle name="Output 3 2" xfId="1590" xr:uid="{00000000-0005-0000-0000-00003A060000}"/>
    <cellStyle name="Output 3 3" xfId="1591" xr:uid="{00000000-0005-0000-0000-00003B060000}"/>
    <cellStyle name="Output 3 4" xfId="1592" xr:uid="{00000000-0005-0000-0000-00003C060000}"/>
    <cellStyle name="Output 4" xfId="1593" xr:uid="{00000000-0005-0000-0000-00003D060000}"/>
    <cellStyle name="Output 4 2" xfId="1594" xr:uid="{00000000-0005-0000-0000-00003E060000}"/>
    <cellStyle name="Output 4 3" xfId="1595" xr:uid="{00000000-0005-0000-0000-00003F060000}"/>
    <cellStyle name="Output 4 4" xfId="1596" xr:uid="{00000000-0005-0000-0000-000040060000}"/>
    <cellStyle name="Output 5" xfId="1597" xr:uid="{00000000-0005-0000-0000-000041060000}"/>
    <cellStyle name="Output 5 2" xfId="1598" xr:uid="{00000000-0005-0000-0000-000042060000}"/>
    <cellStyle name="Output 5 3" xfId="1599" xr:uid="{00000000-0005-0000-0000-000043060000}"/>
    <cellStyle name="Output 5 4" xfId="1600" xr:uid="{00000000-0005-0000-0000-000044060000}"/>
    <cellStyle name="Output 6" xfId="1601" xr:uid="{00000000-0005-0000-0000-000045060000}"/>
    <cellStyle name="Output 6 2" xfId="1602" xr:uid="{00000000-0005-0000-0000-000046060000}"/>
    <cellStyle name="Output 6 3" xfId="1603" xr:uid="{00000000-0005-0000-0000-000047060000}"/>
    <cellStyle name="Output 6 4" xfId="1604" xr:uid="{00000000-0005-0000-0000-000048060000}"/>
    <cellStyle name="Output 7" xfId="1605" xr:uid="{00000000-0005-0000-0000-000049060000}"/>
    <cellStyle name="Output 7 2" xfId="1606" xr:uid="{00000000-0005-0000-0000-00004A060000}"/>
    <cellStyle name="Output 7 3" xfId="1607" xr:uid="{00000000-0005-0000-0000-00004B060000}"/>
    <cellStyle name="Output 7 4" xfId="1608" xr:uid="{00000000-0005-0000-0000-00004C060000}"/>
    <cellStyle name="Output 8" xfId="1609" xr:uid="{00000000-0005-0000-0000-00004D060000}"/>
    <cellStyle name="Output 8 2" xfId="1610" xr:uid="{00000000-0005-0000-0000-00004E060000}"/>
    <cellStyle name="Output 8 3" xfId="1611" xr:uid="{00000000-0005-0000-0000-00004F060000}"/>
    <cellStyle name="Output 8 4" xfId="1612" xr:uid="{00000000-0005-0000-0000-000050060000}"/>
    <cellStyle name="Output 9" xfId="1613" xr:uid="{00000000-0005-0000-0000-000051060000}"/>
    <cellStyle name="Output 9 2" xfId="1614" xr:uid="{00000000-0005-0000-0000-000052060000}"/>
    <cellStyle name="Output 9 3" xfId="1615" xr:uid="{00000000-0005-0000-0000-000053060000}"/>
    <cellStyle name="Output 9 4" xfId="1616" xr:uid="{00000000-0005-0000-0000-000054060000}"/>
    <cellStyle name="Output Amounts" xfId="1617" xr:uid="{00000000-0005-0000-0000-000055060000}"/>
    <cellStyle name="Output Column Headings" xfId="1618" xr:uid="{00000000-0005-0000-0000-000056060000}"/>
    <cellStyle name="Output Line Items" xfId="1619" xr:uid="{00000000-0005-0000-0000-000057060000}"/>
    <cellStyle name="Output Report Heading" xfId="1620" xr:uid="{00000000-0005-0000-0000-000058060000}"/>
    <cellStyle name="Output Report Title" xfId="1621" xr:uid="{00000000-0005-0000-0000-000059060000}"/>
    <cellStyle name="Override" xfId="1622" xr:uid="{00000000-0005-0000-0000-00005A060000}"/>
    <cellStyle name="per.style" xfId="1623" xr:uid="{00000000-0005-0000-0000-00005B060000}"/>
    <cellStyle name="Percen - Style2" xfId="1624" xr:uid="{00000000-0005-0000-0000-00005C060000}"/>
    <cellStyle name="Percent" xfId="3" builtinId="5"/>
    <cellStyle name="Percent [0]" xfId="1625" xr:uid="{00000000-0005-0000-0000-00005E060000}"/>
    <cellStyle name="Percent [00]" xfId="1626" xr:uid="{00000000-0005-0000-0000-00005F060000}"/>
    <cellStyle name="Percent [2]" xfId="1627" xr:uid="{00000000-0005-0000-0000-000060060000}"/>
    <cellStyle name="Percent 10" xfId="1628" xr:uid="{00000000-0005-0000-0000-000061060000}"/>
    <cellStyle name="Percent 11" xfId="1629" xr:uid="{00000000-0005-0000-0000-000062060000}"/>
    <cellStyle name="Percent 12" xfId="1630" xr:uid="{00000000-0005-0000-0000-000063060000}"/>
    <cellStyle name="Percent 13" xfId="1631" xr:uid="{00000000-0005-0000-0000-000064060000}"/>
    <cellStyle name="Percent 14" xfId="1632" xr:uid="{00000000-0005-0000-0000-000065060000}"/>
    <cellStyle name="Percent 15" xfId="1633" xr:uid="{00000000-0005-0000-0000-000066060000}"/>
    <cellStyle name="Percent 16" xfId="1634" xr:uid="{00000000-0005-0000-0000-000067060000}"/>
    <cellStyle name="Percent 17" xfId="1635" xr:uid="{00000000-0005-0000-0000-000068060000}"/>
    <cellStyle name="Percent 18" xfId="1636" xr:uid="{00000000-0005-0000-0000-000069060000}"/>
    <cellStyle name="Percent 19" xfId="1637" xr:uid="{00000000-0005-0000-0000-00006A060000}"/>
    <cellStyle name="Percent 2" xfId="8" xr:uid="{00000000-0005-0000-0000-00006B060000}"/>
    <cellStyle name="Percent 2 2" xfId="1639" xr:uid="{00000000-0005-0000-0000-00006C060000}"/>
    <cellStyle name="Percent 2 2 10" xfId="1640" xr:uid="{00000000-0005-0000-0000-00006D060000}"/>
    <cellStyle name="Percent 2 2 11" xfId="1641" xr:uid="{00000000-0005-0000-0000-00006E060000}"/>
    <cellStyle name="Percent 2 2 2" xfId="1642" xr:uid="{00000000-0005-0000-0000-00006F060000}"/>
    <cellStyle name="Percent 2 2 2 2" xfId="1643" xr:uid="{00000000-0005-0000-0000-000070060000}"/>
    <cellStyle name="Percent 2 2 2 3" xfId="1644" xr:uid="{00000000-0005-0000-0000-000071060000}"/>
    <cellStyle name="Percent 2 2 2 4" xfId="1645" xr:uid="{00000000-0005-0000-0000-000072060000}"/>
    <cellStyle name="Percent 2 2 3" xfId="1646" xr:uid="{00000000-0005-0000-0000-000073060000}"/>
    <cellStyle name="Percent 2 2 3 2" xfId="1647" xr:uid="{00000000-0005-0000-0000-000074060000}"/>
    <cellStyle name="Percent 2 2 3 3" xfId="1648" xr:uid="{00000000-0005-0000-0000-000075060000}"/>
    <cellStyle name="Percent 2 2 3 4" xfId="1649" xr:uid="{00000000-0005-0000-0000-000076060000}"/>
    <cellStyle name="Percent 2 2 4" xfId="1650" xr:uid="{00000000-0005-0000-0000-000077060000}"/>
    <cellStyle name="Percent 2 2 4 2" xfId="1651" xr:uid="{00000000-0005-0000-0000-000078060000}"/>
    <cellStyle name="Percent 2 2 4 3" xfId="1652" xr:uid="{00000000-0005-0000-0000-000079060000}"/>
    <cellStyle name="Percent 2 2 4 4" xfId="1653" xr:uid="{00000000-0005-0000-0000-00007A060000}"/>
    <cellStyle name="Percent 2 2 5" xfId="1654" xr:uid="{00000000-0005-0000-0000-00007B060000}"/>
    <cellStyle name="Percent 2 2 5 2" xfId="1655" xr:uid="{00000000-0005-0000-0000-00007C060000}"/>
    <cellStyle name="Percent 2 2 5 3" xfId="1656" xr:uid="{00000000-0005-0000-0000-00007D060000}"/>
    <cellStyle name="Percent 2 2 5 4" xfId="1657" xr:uid="{00000000-0005-0000-0000-00007E060000}"/>
    <cellStyle name="Percent 2 2 6" xfId="1658" xr:uid="{00000000-0005-0000-0000-00007F060000}"/>
    <cellStyle name="Percent 2 2 6 2" xfId="1659" xr:uid="{00000000-0005-0000-0000-000080060000}"/>
    <cellStyle name="Percent 2 2 6 3" xfId="1660" xr:uid="{00000000-0005-0000-0000-000081060000}"/>
    <cellStyle name="Percent 2 2 6 4" xfId="1661" xr:uid="{00000000-0005-0000-0000-000082060000}"/>
    <cellStyle name="Percent 2 2 7" xfId="1662" xr:uid="{00000000-0005-0000-0000-000083060000}"/>
    <cellStyle name="Percent 2 2 7 2" xfId="1663" xr:uid="{00000000-0005-0000-0000-000084060000}"/>
    <cellStyle name="Percent 2 2 7 3" xfId="1664" xr:uid="{00000000-0005-0000-0000-000085060000}"/>
    <cellStyle name="Percent 2 2 7 4" xfId="1665" xr:uid="{00000000-0005-0000-0000-000086060000}"/>
    <cellStyle name="Percent 2 2 8" xfId="1666" xr:uid="{00000000-0005-0000-0000-000087060000}"/>
    <cellStyle name="Percent 2 2 8 2" xfId="1667" xr:uid="{00000000-0005-0000-0000-000088060000}"/>
    <cellStyle name="Percent 2 2 8 3" xfId="1668" xr:uid="{00000000-0005-0000-0000-000089060000}"/>
    <cellStyle name="Percent 2 2 8 4" xfId="1669" xr:uid="{00000000-0005-0000-0000-00008A060000}"/>
    <cellStyle name="Percent 2 2 9" xfId="1670" xr:uid="{00000000-0005-0000-0000-00008B060000}"/>
    <cellStyle name="Percent 2 3" xfId="1671" xr:uid="{00000000-0005-0000-0000-00008C060000}"/>
    <cellStyle name="Percent 2 3 2" xfId="1672" xr:uid="{00000000-0005-0000-0000-00008D060000}"/>
    <cellStyle name="Percent 2 4" xfId="1673" xr:uid="{00000000-0005-0000-0000-00008E060000}"/>
    <cellStyle name="Percent 2 4 2" xfId="1674" xr:uid="{00000000-0005-0000-0000-00008F060000}"/>
    <cellStyle name="Percent 2 5" xfId="1675" xr:uid="{00000000-0005-0000-0000-000090060000}"/>
    <cellStyle name="Percent 2 6" xfId="1676" xr:uid="{00000000-0005-0000-0000-000091060000}"/>
    <cellStyle name="Percent 2 7" xfId="1677" xr:uid="{00000000-0005-0000-0000-000092060000}"/>
    <cellStyle name="Percent 2 8" xfId="1638" xr:uid="{00000000-0005-0000-0000-000093060000}"/>
    <cellStyle name="Percent 20" xfId="1678" xr:uid="{00000000-0005-0000-0000-000094060000}"/>
    <cellStyle name="Percent 21" xfId="1679" xr:uid="{00000000-0005-0000-0000-000095060000}"/>
    <cellStyle name="Percent 22" xfId="1680" xr:uid="{00000000-0005-0000-0000-000096060000}"/>
    <cellStyle name="Percent 23" xfId="1681" xr:uid="{00000000-0005-0000-0000-000097060000}"/>
    <cellStyle name="Percent 24" xfId="1682" xr:uid="{00000000-0005-0000-0000-000098060000}"/>
    <cellStyle name="Percent 25" xfId="1849" xr:uid="{5409DC57-38FF-4B0F-AF58-7BBF5F0AF620}"/>
    <cellStyle name="Percent 26" xfId="1852" xr:uid="{66DA9ECF-8B05-46AE-AC0A-CBD37D37B944}"/>
    <cellStyle name="Percent 27" xfId="1855" xr:uid="{6C877945-430D-4852-A742-9DE4DD71C211}"/>
    <cellStyle name="Percent 3" xfId="17" xr:uid="{00000000-0005-0000-0000-000099060000}"/>
    <cellStyle name="Percent 3 10" xfId="1684" xr:uid="{00000000-0005-0000-0000-00009A060000}"/>
    <cellStyle name="Percent 3 11" xfId="1685" xr:uid="{00000000-0005-0000-0000-00009B060000}"/>
    <cellStyle name="Percent 3 12" xfId="1686" xr:uid="{00000000-0005-0000-0000-00009C060000}"/>
    <cellStyle name="Percent 3 13" xfId="1683" xr:uid="{00000000-0005-0000-0000-00009D060000}"/>
    <cellStyle name="Percent 3 2" xfId="1687" xr:uid="{00000000-0005-0000-0000-00009E060000}"/>
    <cellStyle name="Percent 3 2 2" xfId="1688" xr:uid="{00000000-0005-0000-0000-00009F060000}"/>
    <cellStyle name="Percent 3 2 2 2" xfId="1689" xr:uid="{00000000-0005-0000-0000-0000A0060000}"/>
    <cellStyle name="Percent 3 2 3" xfId="1690" xr:uid="{00000000-0005-0000-0000-0000A1060000}"/>
    <cellStyle name="Percent 3 2 3 2" xfId="1691" xr:uid="{00000000-0005-0000-0000-0000A2060000}"/>
    <cellStyle name="Percent 3 2 4" xfId="1692" xr:uid="{00000000-0005-0000-0000-0000A3060000}"/>
    <cellStyle name="Percent 3 2 5" xfId="1693" xr:uid="{00000000-0005-0000-0000-0000A4060000}"/>
    <cellStyle name="Percent 3 2 6" xfId="1694" xr:uid="{00000000-0005-0000-0000-0000A5060000}"/>
    <cellStyle name="Percent 3 3" xfId="1695" xr:uid="{00000000-0005-0000-0000-0000A6060000}"/>
    <cellStyle name="Percent 3 3 2" xfId="1696" xr:uid="{00000000-0005-0000-0000-0000A7060000}"/>
    <cellStyle name="Percent 3 3 3" xfId="1697" xr:uid="{00000000-0005-0000-0000-0000A8060000}"/>
    <cellStyle name="Percent 3 3 4" xfId="1698" xr:uid="{00000000-0005-0000-0000-0000A9060000}"/>
    <cellStyle name="Percent 3 4" xfId="1699" xr:uid="{00000000-0005-0000-0000-0000AA060000}"/>
    <cellStyle name="Percent 3 4 2" xfId="1700" xr:uid="{00000000-0005-0000-0000-0000AB060000}"/>
    <cellStyle name="Percent 3 4 3" xfId="1701" xr:uid="{00000000-0005-0000-0000-0000AC060000}"/>
    <cellStyle name="Percent 3 4 4" xfId="1702" xr:uid="{00000000-0005-0000-0000-0000AD060000}"/>
    <cellStyle name="Percent 3 5" xfId="1703" xr:uid="{00000000-0005-0000-0000-0000AE060000}"/>
    <cellStyle name="Percent 3 5 2" xfId="1704" xr:uid="{00000000-0005-0000-0000-0000AF060000}"/>
    <cellStyle name="Percent 3 5 3" xfId="1705" xr:uid="{00000000-0005-0000-0000-0000B0060000}"/>
    <cellStyle name="Percent 3 5 4" xfId="1706" xr:uid="{00000000-0005-0000-0000-0000B1060000}"/>
    <cellStyle name="Percent 3 6" xfId="1707" xr:uid="{00000000-0005-0000-0000-0000B2060000}"/>
    <cellStyle name="Percent 3 6 2" xfId="1708" xr:uid="{00000000-0005-0000-0000-0000B3060000}"/>
    <cellStyle name="Percent 3 6 3" xfId="1709" xr:uid="{00000000-0005-0000-0000-0000B4060000}"/>
    <cellStyle name="Percent 3 6 4" xfId="1710" xr:uid="{00000000-0005-0000-0000-0000B5060000}"/>
    <cellStyle name="Percent 3 7" xfId="1711" xr:uid="{00000000-0005-0000-0000-0000B6060000}"/>
    <cellStyle name="Percent 3 7 2" xfId="1712" xr:uid="{00000000-0005-0000-0000-0000B7060000}"/>
    <cellStyle name="Percent 3 7 3" xfId="1713" xr:uid="{00000000-0005-0000-0000-0000B8060000}"/>
    <cellStyle name="Percent 3 7 4" xfId="1714" xr:uid="{00000000-0005-0000-0000-0000B9060000}"/>
    <cellStyle name="Percent 3 8" xfId="1715" xr:uid="{00000000-0005-0000-0000-0000BA060000}"/>
    <cellStyle name="Percent 3 8 2" xfId="1716" xr:uid="{00000000-0005-0000-0000-0000BB060000}"/>
    <cellStyle name="Percent 3 8 3" xfId="1717" xr:uid="{00000000-0005-0000-0000-0000BC060000}"/>
    <cellStyle name="Percent 3 8 4" xfId="1718" xr:uid="{00000000-0005-0000-0000-0000BD060000}"/>
    <cellStyle name="Percent 3 9" xfId="1719" xr:uid="{00000000-0005-0000-0000-0000BE060000}"/>
    <cellStyle name="Percent 3 9 2" xfId="1720" xr:uid="{00000000-0005-0000-0000-0000BF060000}"/>
    <cellStyle name="Percent 4" xfId="26" xr:uid="{00000000-0005-0000-0000-0000C0060000}"/>
    <cellStyle name="Percent 4 2" xfId="1721" xr:uid="{00000000-0005-0000-0000-0000C1060000}"/>
    <cellStyle name="Percent 4 2 2" xfId="1722" xr:uid="{00000000-0005-0000-0000-0000C2060000}"/>
    <cellStyle name="Percent 4 3" xfId="1723" xr:uid="{00000000-0005-0000-0000-0000C3060000}"/>
    <cellStyle name="Percent 4 3 2" xfId="1724" xr:uid="{00000000-0005-0000-0000-0000C4060000}"/>
    <cellStyle name="Percent 4 4" xfId="1725" xr:uid="{00000000-0005-0000-0000-0000C5060000}"/>
    <cellStyle name="Percent 4 5" xfId="1726" xr:uid="{00000000-0005-0000-0000-0000C6060000}"/>
    <cellStyle name="Percent 4 6" xfId="1727" xr:uid="{00000000-0005-0000-0000-0000C7060000}"/>
    <cellStyle name="Percent 5" xfId="1728" xr:uid="{00000000-0005-0000-0000-0000C8060000}"/>
    <cellStyle name="Percent 5 2" xfId="1729" xr:uid="{00000000-0005-0000-0000-0000C9060000}"/>
    <cellStyle name="Percent 6" xfId="1730" xr:uid="{00000000-0005-0000-0000-0000CA060000}"/>
    <cellStyle name="Percent 7" xfId="1731" xr:uid="{00000000-0005-0000-0000-0000CB060000}"/>
    <cellStyle name="Percent 7 2" xfId="1732" xr:uid="{00000000-0005-0000-0000-0000CC060000}"/>
    <cellStyle name="Percent 8" xfId="1733" xr:uid="{00000000-0005-0000-0000-0000CD060000}"/>
    <cellStyle name="Percent 9" xfId="1734" xr:uid="{00000000-0005-0000-0000-0000CE060000}"/>
    <cellStyle name="Percent 9 2" xfId="1735" xr:uid="{00000000-0005-0000-0000-0000CF060000}"/>
    <cellStyle name="PrePop Currency (0)" xfId="1736" xr:uid="{00000000-0005-0000-0000-0000D0060000}"/>
    <cellStyle name="PrePop Currency (2)" xfId="1737" xr:uid="{00000000-0005-0000-0000-0000D1060000}"/>
    <cellStyle name="PrePop Units (0)" xfId="1738" xr:uid="{00000000-0005-0000-0000-0000D2060000}"/>
    <cellStyle name="PrePop Units (1)" xfId="1739" xr:uid="{00000000-0005-0000-0000-0000D3060000}"/>
    <cellStyle name="PrePop Units (2)" xfId="1740" xr:uid="{00000000-0005-0000-0000-0000D4060000}"/>
    <cellStyle name="PSChar" xfId="1741" xr:uid="{00000000-0005-0000-0000-0000D5060000}"/>
    <cellStyle name="PSDate" xfId="1742" xr:uid="{00000000-0005-0000-0000-0000D6060000}"/>
    <cellStyle name="PSDec" xfId="1743" xr:uid="{00000000-0005-0000-0000-0000D7060000}"/>
    <cellStyle name="PSHeading" xfId="1744" xr:uid="{00000000-0005-0000-0000-0000D8060000}"/>
    <cellStyle name="PSInt" xfId="1745" xr:uid="{00000000-0005-0000-0000-0000D9060000}"/>
    <cellStyle name="PSSpacer" xfId="1746" xr:uid="{00000000-0005-0000-0000-0000DA060000}"/>
    <cellStyle name="QUOTEINFO" xfId="1747" xr:uid="{00000000-0005-0000-0000-0000DB060000}"/>
    <cellStyle name="RedLeftSmall8" xfId="1748" xr:uid="{00000000-0005-0000-0000-0000DC060000}"/>
    <cellStyle name="regstoresfromspecstores" xfId="1749" xr:uid="{00000000-0005-0000-0000-0000DD060000}"/>
    <cellStyle name="Review_Date" xfId="1750" xr:uid="{00000000-0005-0000-0000-0000DE060000}"/>
    <cellStyle name="Reviewer" xfId="1751" xr:uid="{00000000-0005-0000-0000-0000DF060000}"/>
    <cellStyle name="RevList" xfId="1752" xr:uid="{00000000-0005-0000-0000-0000E0060000}"/>
    <cellStyle name="Right" xfId="18" xr:uid="{00000000-0005-0000-0000-0000E1060000}"/>
    <cellStyle name="Right 2" xfId="1753" xr:uid="{00000000-0005-0000-0000-0000E2060000}"/>
    <cellStyle name="Rollover_Date" xfId="1754" xr:uid="{00000000-0005-0000-0000-0000E3060000}"/>
    <cellStyle name="SHADEDSTORES" xfId="1755" xr:uid="{00000000-0005-0000-0000-0000E4060000}"/>
    <cellStyle name="ShadeLight" xfId="1756" xr:uid="{00000000-0005-0000-0000-0000E5060000}"/>
    <cellStyle name="SPECIAL1" xfId="1757" xr:uid="{00000000-0005-0000-0000-0000E6060000}"/>
    <cellStyle name="SPECIAL1$ZP$" xfId="1758" xr:uid="{00000000-0005-0000-0000-0000E7060000}"/>
    <cellStyle name="SPECIAL2" xfId="1759" xr:uid="{00000000-0005-0000-0000-0000E9060000}"/>
    <cellStyle name="SPECIAL2$ZP$" xfId="1760" xr:uid="{00000000-0005-0000-0000-0000EA060000}"/>
    <cellStyle name="SPECIAL3" xfId="1761" xr:uid="{00000000-0005-0000-0000-0000EB060000}"/>
    <cellStyle name="SPECIAL3$ZP$" xfId="1762" xr:uid="{00000000-0005-0000-0000-0000EC060000}"/>
    <cellStyle name="SPECIAL4" xfId="1763" xr:uid="{00000000-0005-0000-0000-0000EE060000}"/>
    <cellStyle name="SPECIAL4$ZP$" xfId="1764" xr:uid="{00000000-0005-0000-0000-0000EF060000}"/>
    <cellStyle name="specstores" xfId="1765" xr:uid="{00000000-0005-0000-0000-0000F1060000}"/>
    <cellStyle name="Style 1" xfId="1766" xr:uid="{00000000-0005-0000-0000-0000F2060000}"/>
    <cellStyle name="Style 2" xfId="1767" xr:uid="{00000000-0005-0000-0000-0000F3060000}"/>
    <cellStyle name="Style_1E" xfId="1768" xr:uid="{00000000-0005-0000-0000-0000F4060000}"/>
    <cellStyle name="Style1" xfId="1769" xr:uid="{00000000-0005-0000-0000-0000F5060000}"/>
    <cellStyle name="Subtitle" xfId="1770" xr:uid="{00000000-0005-0000-0000-0000F6060000}"/>
    <cellStyle name="Subtotal" xfId="1771" xr:uid="{00000000-0005-0000-0000-0000F7060000}"/>
    <cellStyle name="SUMROW2" xfId="1772" xr:uid="{00000000-0005-0000-0000-0000F8060000}"/>
    <cellStyle name="SUMROW2$ZP$" xfId="1773" xr:uid="{00000000-0005-0000-0000-0000F9060000}"/>
    <cellStyle name="t" xfId="1774" xr:uid="{00000000-0005-0000-0000-0000FA060000}"/>
    <cellStyle name="t_Medical MidLarge 2Q Forecast" xfId="1775" xr:uid="{00000000-0005-0000-0000-0000FB060000}"/>
    <cellStyle name="t_SB 2Q 2009 &amp; 2010 Forecast Summary v2" xfId="1776" xr:uid="{00000000-0005-0000-0000-0000FC060000}"/>
    <cellStyle name="TEXT" xfId="1777" xr:uid="{00000000-0005-0000-0000-0000FD060000}"/>
    <cellStyle name="Text Indent A" xfId="1778" xr:uid="{00000000-0005-0000-0000-0000FE060000}"/>
    <cellStyle name="Text Indent B" xfId="1779" xr:uid="{00000000-0005-0000-0000-0000FF060000}"/>
    <cellStyle name="Text Indent C" xfId="1780" xr:uid="{00000000-0005-0000-0000-000000070000}"/>
    <cellStyle name="TEXT$ZP$" xfId="1781" xr:uid="{00000000-0005-0000-0000-000001070000}"/>
    <cellStyle name="TEXT_2003Projection Model(2%Margin)NoLockIn_9_5_02High" xfId="1782" xr:uid="{00000000-0005-0000-0000-000002070000}"/>
    <cellStyle name="TEXTBOLD" xfId="1783" xr:uid="{00000000-0005-0000-0000-000003070000}"/>
    <cellStyle name="TEXTBOLD$ZP$" xfId="1784" xr:uid="{00000000-0005-0000-0000-000004070000}"/>
    <cellStyle name="Title 2" xfId="1785" xr:uid="{00000000-0005-0000-0000-000006070000}"/>
    <cellStyle name="Title 3" xfId="1786" xr:uid="{00000000-0005-0000-0000-000007070000}"/>
    <cellStyle name="Total 10" xfId="1787" xr:uid="{00000000-0005-0000-0000-000008070000}"/>
    <cellStyle name="Total 2" xfId="1788" xr:uid="{00000000-0005-0000-0000-000009070000}"/>
    <cellStyle name="Total 2 2" xfId="1789" xr:uid="{00000000-0005-0000-0000-00000A070000}"/>
    <cellStyle name="Total 2 3" xfId="1790" xr:uid="{00000000-0005-0000-0000-00000B070000}"/>
    <cellStyle name="Total 3" xfId="1791" xr:uid="{00000000-0005-0000-0000-00000C070000}"/>
    <cellStyle name="Total 4" xfId="1792" xr:uid="{00000000-0005-0000-0000-00000D070000}"/>
    <cellStyle name="Total 5" xfId="1793" xr:uid="{00000000-0005-0000-0000-00000E070000}"/>
    <cellStyle name="Total 6" xfId="1794" xr:uid="{00000000-0005-0000-0000-00000F070000}"/>
    <cellStyle name="Total 7" xfId="1795" xr:uid="{00000000-0005-0000-0000-000010070000}"/>
    <cellStyle name="Total 8" xfId="1796" xr:uid="{00000000-0005-0000-0000-000011070000}"/>
    <cellStyle name="Total 9" xfId="1797" xr:uid="{00000000-0005-0000-0000-000012070000}"/>
    <cellStyle name="TOTALCOLUMNFORMAT" xfId="1798" xr:uid="{00000000-0005-0000-0000-000013070000}"/>
    <cellStyle name="TOTALCOLUMNFORMAT$ZP$" xfId="1799" xr:uid="{00000000-0005-0000-0000-000014070000}"/>
    <cellStyle name="USER" xfId="1800" xr:uid="{00000000-0005-0000-0000-000016070000}"/>
    <cellStyle name="USER$ZL$" xfId="1801" xr:uid="{00000000-0005-0000-0000-000017070000}"/>
    <cellStyle name="USER$ZP$" xfId="1802" xr:uid="{00000000-0005-0000-0000-000018070000}"/>
    <cellStyle name="USER$ZP$$ZL$" xfId="1803" xr:uid="{00000000-0005-0000-0000-000019070000}"/>
    <cellStyle name="USER1" xfId="1804" xr:uid="{00000000-0005-0000-0000-00001C070000}"/>
    <cellStyle name="USER1$ZL$" xfId="1805" xr:uid="{00000000-0005-0000-0000-00001D070000}"/>
    <cellStyle name="USER1$ZL$$ZP$" xfId="1806" xr:uid="{00000000-0005-0000-0000-00001E070000}"/>
    <cellStyle name="USER1$ZP$" xfId="1807" xr:uid="{00000000-0005-0000-0000-00001F070000}"/>
    <cellStyle name="Validation" xfId="1808" xr:uid="{00000000-0005-0000-0000-000020070000}"/>
    <cellStyle name="Warning Text 2" xfId="1809" xr:uid="{00000000-0005-0000-0000-000021070000}"/>
    <cellStyle name="Warning Text 2 2" xfId="1810" xr:uid="{00000000-0005-0000-0000-000022070000}"/>
    <cellStyle name="Warning Text 2 3" xfId="1811" xr:uid="{00000000-0005-0000-0000-000023070000}"/>
    <cellStyle name="Warning Text 3" xfId="1812" xr:uid="{00000000-0005-0000-0000-000024070000}"/>
    <cellStyle name="Workpaper_Title" xfId="1813" xr:uid="{00000000-0005-0000-0000-000025070000}"/>
    <cellStyle name="WP_Name_11" xfId="1814" xr:uid="{00000000-0005-0000-0000-000026070000}"/>
    <cellStyle name="一般 2" xfId="1815" xr:uid="{00000000-0005-0000-0000-000027070000}"/>
    <cellStyle name="中等" xfId="1816" xr:uid="{00000000-0005-0000-0000-000028070000}"/>
    <cellStyle name="備註" xfId="1817" xr:uid="{00000000-0005-0000-0000-000029070000}"/>
    <cellStyle name="千分位 2" xfId="1818" xr:uid="{00000000-0005-0000-0000-00002A070000}"/>
    <cellStyle name="合計" xfId="1819" xr:uid="{00000000-0005-0000-0000-00002B070000}"/>
    <cellStyle name="壞" xfId="1820" xr:uid="{00000000-0005-0000-0000-00002C070000}"/>
    <cellStyle name="好" xfId="1821" xr:uid="{00000000-0005-0000-0000-00002D070000}"/>
    <cellStyle name="標題" xfId="1822" xr:uid="{00000000-0005-0000-0000-00002E070000}"/>
    <cellStyle name="標題 1" xfId="1823" xr:uid="{00000000-0005-0000-0000-00002F070000}"/>
    <cellStyle name="標題 2" xfId="1824" xr:uid="{00000000-0005-0000-0000-000030070000}"/>
    <cellStyle name="標題 3" xfId="1825" xr:uid="{00000000-0005-0000-0000-000031070000}"/>
    <cellStyle name="標題 4" xfId="1826" xr:uid="{00000000-0005-0000-0000-000032070000}"/>
    <cellStyle name="檢查儲存格" xfId="1827" xr:uid="{00000000-0005-0000-0000-000033070000}"/>
    <cellStyle name="百分比 2" xfId="1828" xr:uid="{00000000-0005-0000-0000-000034070000}"/>
    <cellStyle name="計算方式" xfId="1829" xr:uid="{00000000-0005-0000-0000-000035070000}"/>
    <cellStyle name="說明文字" xfId="1830" xr:uid="{00000000-0005-0000-0000-000036070000}"/>
    <cellStyle name="警告文字" xfId="1831" xr:uid="{00000000-0005-0000-0000-000037070000}"/>
    <cellStyle name="輔色1" xfId="1832" xr:uid="{00000000-0005-0000-0000-000038070000}"/>
    <cellStyle name="輔色2" xfId="1833" xr:uid="{00000000-0005-0000-0000-000039070000}"/>
    <cellStyle name="輔色3" xfId="1834" xr:uid="{00000000-0005-0000-0000-00003A070000}"/>
    <cellStyle name="輔色4" xfId="1835" xr:uid="{00000000-0005-0000-0000-00003B070000}"/>
    <cellStyle name="輔色5" xfId="1836" xr:uid="{00000000-0005-0000-0000-00003C070000}"/>
    <cellStyle name="輔色6" xfId="1837" xr:uid="{00000000-0005-0000-0000-00003D070000}"/>
    <cellStyle name="輸入" xfId="1838" xr:uid="{00000000-0005-0000-0000-00003E070000}"/>
    <cellStyle name="輸出" xfId="1839" xr:uid="{00000000-0005-0000-0000-00003F070000}"/>
    <cellStyle name="連結的儲存格" xfId="1840" xr:uid="{00000000-0005-0000-0000-000040070000}"/>
  </cellStyles>
  <dxfs count="0"/>
  <tableStyles count="1" defaultTableStyle="TableStyleMedium2" defaultPivotStyle="PivotStyleLight16">
    <tableStyle name="Table Style 1" pivot="0" count="0" xr9:uid="{00000000-0011-0000-FFFF-FFFF00000000}"/>
  </tableStyles>
  <colors>
    <mruColors>
      <color rgb="FFCC99FF"/>
      <color rgb="FFFFEB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40865173888418E-2"/>
          <c:y val="0.13532896623216215"/>
          <c:w val="0.83911826965222314"/>
          <c:h val="0.81337568098105384"/>
        </c:manualLayout>
      </c:layout>
      <c:ofPieChart>
        <c:ofPieType val="bar"/>
        <c:varyColors val="1"/>
        <c:ser>
          <c:idx val="0"/>
          <c:order val="0"/>
          <c:tx>
            <c:strRef>
              <c:f>Output_4!$B$2</c:f>
              <c:strCache>
                <c:ptCount val="1"/>
                <c:pt idx="0">
                  <c:v>Baseline 2022</c:v>
                </c:pt>
              </c:strCache>
            </c:strRef>
          </c:tx>
          <c:spPr>
            <a:solidFill>
              <a:schemeClr val="accent6">
                <a:lumMod val="75000"/>
              </a:schemeClr>
            </a:solidFill>
          </c:spPr>
          <c:dPt>
            <c:idx val="0"/>
            <c:bubble3D val="0"/>
            <c:spPr>
              <a:solidFill>
                <a:schemeClr val="accent1"/>
              </a:solidFill>
              <a:ln w="19050">
                <a:solidFill>
                  <a:schemeClr val="accent1"/>
                </a:solidFill>
              </a:ln>
              <a:effectLst/>
            </c:spPr>
            <c:extLst>
              <c:ext xmlns:c16="http://schemas.microsoft.com/office/drawing/2014/chart" uri="{C3380CC4-5D6E-409C-BE32-E72D297353CC}">
                <c16:uniqueId val="{00000002-C6CE-4F57-A395-A0A6278DD8C7}"/>
              </c:ext>
            </c:extLst>
          </c:dPt>
          <c:dPt>
            <c:idx val="1"/>
            <c:bubble3D val="0"/>
            <c:spPr>
              <a:solidFill>
                <a:srgbClr val="CC99FF"/>
              </a:solidFill>
              <a:ln w="19050">
                <a:solidFill>
                  <a:schemeClr val="lt1"/>
                </a:solidFill>
              </a:ln>
              <a:effectLst/>
            </c:spPr>
            <c:extLst>
              <c:ext xmlns:c16="http://schemas.microsoft.com/office/drawing/2014/chart" uri="{C3380CC4-5D6E-409C-BE32-E72D297353CC}">
                <c16:uniqueId val="{0000000A-C6CE-4F57-A395-A0A6278DD8C7}"/>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4-C6CE-4F57-A395-A0A6278DD8C7}"/>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8-C6CE-4F57-A395-A0A6278DD8C7}"/>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C6CE-4F57-A395-A0A6278DD8C7}"/>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C6CE-4F57-A395-A0A6278DD8C7}"/>
              </c:ext>
            </c:extLst>
          </c:dPt>
          <c:dPt>
            <c:idx val="6"/>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7-C6CE-4F57-A395-A0A6278DD8C7}"/>
              </c:ext>
            </c:extLst>
          </c:dPt>
          <c:dPt>
            <c:idx val="7"/>
            <c:bubble3D val="0"/>
            <c:spPr>
              <a:solidFill>
                <a:schemeClr val="accent2"/>
              </a:solidFill>
              <a:ln w="19050">
                <a:solidFill>
                  <a:schemeClr val="lt1"/>
                </a:solidFill>
              </a:ln>
              <a:effectLst/>
            </c:spPr>
            <c:extLst>
              <c:ext xmlns:c16="http://schemas.microsoft.com/office/drawing/2014/chart" uri="{C3380CC4-5D6E-409C-BE32-E72D297353CC}">
                <c16:uniqueId val="{00000006-C6CE-4F57-A395-A0A6278DD8C7}"/>
              </c:ext>
            </c:extLst>
          </c:dPt>
          <c:dPt>
            <c:idx val="8"/>
            <c:bubble3D val="0"/>
            <c:explosion val="2"/>
            <c:spPr>
              <a:solidFill>
                <a:schemeClr val="accent6">
                  <a:lumMod val="75000"/>
                </a:schemeClr>
              </a:solidFill>
              <a:ln w="19050">
                <a:solidFill>
                  <a:schemeClr val="lt1"/>
                </a:solidFill>
              </a:ln>
              <a:effectLst/>
            </c:spPr>
            <c:extLst>
              <c:ext xmlns:c16="http://schemas.microsoft.com/office/drawing/2014/chart" uri="{C3380CC4-5D6E-409C-BE32-E72D297353CC}">
                <c16:uniqueId val="{00000003-C6CE-4F57-A395-A0A6278DD8C7}"/>
              </c:ext>
            </c:extLst>
          </c:dPt>
          <c:dLbls>
            <c:dLbl>
              <c:idx val="0"/>
              <c:spPr>
                <a:noFill/>
                <a:ln>
                  <a:noFill/>
                </a:ln>
                <a:effectLst/>
              </c:spPr>
              <c:txPr>
                <a:bodyPr rot="0" spcFirstLastPara="1" vertOverflow="ellipsis" vert="horz" wrap="square" lIns="38100" tIns="19050" rIns="38100" bIns="19050" anchor="ctr" anchorCtr="0">
                  <a:spAutoFit/>
                </a:bodyPr>
                <a:lstStyle/>
                <a:p>
                  <a:pPr algn="l">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6="http://schemas.microsoft.com/office/drawing/2014/chart" uri="{C3380CC4-5D6E-409C-BE32-E72D297353CC}">
                  <c16:uniqueId val="{00000002-C6CE-4F57-A395-A0A6278DD8C7}"/>
                </c:ext>
              </c:extLst>
            </c:dLbl>
            <c:dLbl>
              <c:idx val="1"/>
              <c:layout>
                <c:manualLayout>
                  <c:x val="9.5782751821730613E-2"/>
                  <c:y val="0.15252586073799598"/>
                </c:manualLayout>
              </c:layout>
              <c:spPr>
                <a:noFill/>
                <a:ln>
                  <a:noFill/>
                </a:ln>
                <a:effectLst/>
              </c:spPr>
              <c:txPr>
                <a:bodyPr rot="0" spcFirstLastPara="1" vertOverflow="ellipsis" vert="horz" wrap="square" lIns="38100" tIns="19050" rIns="38100" bIns="19050" anchor="ctr" anchorCtr="0">
                  <a:noAutofit/>
                </a:bodyPr>
                <a:lstStyle/>
                <a:p>
                  <a:pPr algn="ctr">
                    <a:defRPr sz="14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9.7052033283979863E-2"/>
                      <c:h val="0.29467787114845945"/>
                    </c:manualLayout>
                  </c15:layout>
                </c:ext>
                <c:ext xmlns:c16="http://schemas.microsoft.com/office/drawing/2014/chart" uri="{C3380CC4-5D6E-409C-BE32-E72D297353CC}">
                  <c16:uniqueId val="{0000000A-C6CE-4F57-A395-A0A6278DD8C7}"/>
                </c:ext>
              </c:extLst>
            </c:dLbl>
            <c:dLbl>
              <c:idx val="2"/>
              <c:layout>
                <c:manualLayout>
                  <c:x val="-0.12701826125318955"/>
                  <c:y val="-2.3446740827190453E-3"/>
                </c:manualLayout>
              </c:layout>
              <c:spPr>
                <a:noFill/>
                <a:ln>
                  <a:noFill/>
                </a:ln>
                <a:effectLst/>
              </c:spPr>
              <c:txPr>
                <a:bodyPr rot="0" spcFirstLastPara="1" vertOverflow="ellipsis" vert="horz" wrap="square" lIns="38100" tIns="19050" rIns="38100" bIns="19050" anchor="ctr" anchorCtr="0">
                  <a:noAutofit/>
                </a:bodyPr>
                <a:lstStyle/>
                <a:p>
                  <a:pPr algn="l">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9310903517528438"/>
                      <c:h val="0.28913165266106444"/>
                    </c:manualLayout>
                  </c15:layout>
                </c:ext>
                <c:ext xmlns:c16="http://schemas.microsoft.com/office/drawing/2014/chart" uri="{C3380CC4-5D6E-409C-BE32-E72D297353CC}">
                  <c16:uniqueId val="{00000004-C6CE-4F57-A395-A0A6278DD8C7}"/>
                </c:ext>
              </c:extLst>
            </c:dLbl>
            <c:dLbl>
              <c:idx val="3"/>
              <c:layout>
                <c:manualLayout>
                  <c:x val="-7.0855910499750763E-2"/>
                  <c:y val="-2.5014649904222552E-3"/>
                </c:manualLayout>
              </c:layout>
              <c:spPr>
                <a:noFill/>
                <a:ln>
                  <a:noFill/>
                </a:ln>
                <a:effectLst/>
              </c:spPr>
              <c:txPr>
                <a:bodyPr rot="0" spcFirstLastPara="1" vertOverflow="ellipsis" vert="horz" wrap="square" lIns="38100" tIns="19050" rIns="38100" bIns="19050" anchor="ctr" anchorCtr="0">
                  <a:noAutofit/>
                </a:bodyPr>
                <a:lstStyle/>
                <a:p>
                  <a:pPr algn="l">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4615328778199627"/>
                      <c:h val="5.8536585365853648E-2"/>
                    </c:manualLayout>
                  </c15:layout>
                </c:ext>
                <c:ext xmlns:c16="http://schemas.microsoft.com/office/drawing/2014/chart" uri="{C3380CC4-5D6E-409C-BE32-E72D297353CC}">
                  <c16:uniqueId val="{00000008-C6CE-4F57-A395-A0A6278DD8C7}"/>
                </c:ext>
              </c:extLst>
            </c:dLbl>
            <c:dLbl>
              <c:idx val="4"/>
              <c:layout>
                <c:manualLayout>
                  <c:x val="-8.8973983774978962E-2"/>
                  <c:y val="-1.6681685896204814E-3"/>
                </c:manualLayout>
              </c:layout>
              <c:spPr>
                <a:noFill/>
                <a:ln>
                  <a:noFill/>
                </a:ln>
                <a:effectLst/>
              </c:spPr>
              <c:txPr>
                <a:bodyPr rot="0" spcFirstLastPara="1" vertOverflow="ellipsis" vert="horz" wrap="square" lIns="38100" tIns="19050" rIns="38100" bIns="19050" anchor="ctr" anchorCtr="0">
                  <a:noAutofit/>
                </a:bodyPr>
                <a:lstStyle/>
                <a:p>
                  <a:pPr algn="l">
                    <a:defRPr sz="1400" b="0"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3056476547858265"/>
                      <c:h val="0.10867559941498869"/>
                    </c:manualLayout>
                  </c15:layout>
                </c:ext>
                <c:ext xmlns:c16="http://schemas.microsoft.com/office/drawing/2014/chart" uri="{C3380CC4-5D6E-409C-BE32-E72D297353CC}">
                  <c16:uniqueId val="{00000005-C6CE-4F57-A395-A0A6278DD8C7}"/>
                </c:ext>
              </c:extLst>
            </c:dLbl>
            <c:dLbl>
              <c:idx val="5"/>
              <c:layout>
                <c:manualLayout>
                  <c:x val="-0.11458703811851022"/>
                  <c:y val="-2.8011601739276024E-3"/>
                </c:manualLayout>
              </c:layout>
              <c:spPr>
                <a:noFill/>
                <a:ln>
                  <a:noFill/>
                </a:ln>
                <a:effectLst/>
              </c:spPr>
              <c:txPr>
                <a:bodyPr rot="0" spcFirstLastPara="1" vertOverflow="ellipsis" vert="horz" wrap="square" lIns="38100" tIns="19050" rIns="38100" bIns="19050" anchor="ctr" anchorCtr="0">
                  <a:spAutoFit/>
                </a:bodyPr>
                <a:lstStyle/>
                <a:p>
                  <a:pPr algn="l">
                    <a:defRPr sz="1400" b="0"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525180856715861"/>
                      <c:h val="9.8599439775910347E-2"/>
                    </c:manualLayout>
                  </c15:layout>
                </c:ext>
                <c:ext xmlns:c16="http://schemas.microsoft.com/office/drawing/2014/chart" uri="{C3380CC4-5D6E-409C-BE32-E72D297353CC}">
                  <c16:uniqueId val="{00000009-C6CE-4F57-A395-A0A6278DD8C7}"/>
                </c:ext>
              </c:extLst>
            </c:dLbl>
            <c:dLbl>
              <c:idx val="6"/>
              <c:layout>
                <c:manualLayout>
                  <c:x val="-0.13591356302570756"/>
                  <c:y val="2.8592673570587918E-3"/>
                </c:manualLayout>
              </c:layout>
              <c:spPr>
                <a:noFill/>
                <a:ln>
                  <a:noFill/>
                </a:ln>
                <a:effectLst/>
              </c:spPr>
              <c:txPr>
                <a:bodyPr rot="0" spcFirstLastPara="1" vertOverflow="ellipsis" vert="horz" wrap="square" lIns="38100" tIns="19050" rIns="38100" bIns="19050" anchor="ctr" anchorCtr="0">
                  <a:spAutoFit/>
                </a:bodyPr>
                <a:lstStyle/>
                <a:p>
                  <a:pPr algn="l">
                    <a:defRPr sz="1400" b="0"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CE-4F57-A395-A0A6278DD8C7}"/>
                </c:ext>
              </c:extLst>
            </c:dLbl>
            <c:dLbl>
              <c:idx val="7"/>
              <c:layout>
                <c:manualLayout>
                  <c:x val="3.1498753834909743E-2"/>
                  <c:y val="9.3716888330135209E-2"/>
                </c:manualLayout>
              </c:layout>
              <c:spPr>
                <a:noFill/>
                <a:ln>
                  <a:noFill/>
                </a:ln>
                <a:effectLst/>
              </c:spPr>
              <c:txPr>
                <a:bodyPr rot="0" spcFirstLastPara="1" vertOverflow="ellipsis" vert="horz" wrap="square" lIns="38100" tIns="19050" rIns="38100" bIns="19050" anchor="ctr" anchorCtr="0">
                  <a:noAutofit/>
                </a:bodyPr>
                <a:lstStyle/>
                <a:p>
                  <a:pPr algn="l">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2313962969369908"/>
                      <c:h val="0.25826330532212888"/>
                    </c:manualLayout>
                  </c15:layout>
                </c:ext>
                <c:ext xmlns:c16="http://schemas.microsoft.com/office/drawing/2014/chart" uri="{C3380CC4-5D6E-409C-BE32-E72D297353CC}">
                  <c16:uniqueId val="{00000006-C6CE-4F57-A395-A0A6278DD8C7}"/>
                </c:ext>
              </c:extLst>
            </c:dLbl>
            <c:dLbl>
              <c:idx val="8"/>
              <c:layout>
                <c:manualLayout>
                  <c:x val="-0.22760338435502792"/>
                  <c:y val="1.4331004121670533E-2"/>
                </c:manualLayout>
              </c:layout>
              <c:tx>
                <c:rich>
                  <a:bodyPr rot="0" spcFirstLastPara="1" vertOverflow="ellipsis" vert="horz" wrap="square" lIns="38100" tIns="19050" rIns="38100" bIns="19050" anchor="ctr" anchorCtr="0">
                    <a:spAutoFit/>
                  </a:bodyPr>
                  <a:lstStyle/>
                  <a:p>
                    <a:pPr algn="l">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a:t>Employer and household</a:t>
                    </a:r>
                    <a:r>
                      <a:rPr lang="en-US" baseline="0"/>
                      <a:t> spending, </a:t>
                    </a:r>
                    <a:fld id="{217B8FA7-72DE-4E17-8777-6157B0C26B97}" type="VALUE">
                      <a:rPr lang="en-US" baseline="0"/>
                      <a:pPr algn="l">
                        <a:defRPr sz="1400">
                          <a:solidFill>
                            <a:schemeClr val="bg1"/>
                          </a:solidFill>
                          <a:latin typeface="Arial" panose="020B0604020202020204" pitchFamily="34" charset="0"/>
                          <a:cs typeface="Arial" panose="020B0604020202020204" pitchFamily="34" charset="0"/>
                        </a:defRPr>
                      </a:pPr>
                      <a:t>[VALUE]</a:t>
                    </a:fld>
                    <a:endParaRPr lang="en-US" baseline="0"/>
                  </a:p>
                </c:rich>
              </c:tx>
              <c:spPr>
                <a:noFill/>
                <a:ln>
                  <a:noFill/>
                </a:ln>
                <a:effectLst/>
              </c:spPr>
              <c:txPr>
                <a:bodyPr rot="0" spcFirstLastPara="1" vertOverflow="ellipsis" vert="horz" wrap="square" lIns="38100" tIns="19050" rIns="38100" bIns="19050" anchor="ctr" anchorCtr="0">
                  <a:spAutoFit/>
                </a:bodyPr>
                <a:lstStyle/>
                <a:p>
                  <a:pPr algn="l">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6CE-4F57-A395-A0A6278DD8C7}"/>
                </c:ext>
              </c:extLst>
            </c:dLbl>
            <c:spPr>
              <a:noFill/>
              <a:ln>
                <a:noFill/>
              </a:ln>
              <a:effectLst/>
            </c:spPr>
            <c:txPr>
              <a:bodyPr rot="0" spcFirstLastPara="1" vertOverflow="ellipsis" vert="horz" wrap="square" lIns="38100" tIns="19050" rIns="38100" bIns="19050" anchor="ctr" anchorCtr="0">
                <a:spAutoFit/>
              </a:bodyPr>
              <a:lstStyle/>
              <a:p>
                <a:pPr algn="l">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Output_4!$A$3:$A$10</c:f>
              <c:strCache>
                <c:ptCount val="8"/>
                <c:pt idx="0">
                  <c:v>Federal</c:v>
                </c:pt>
                <c:pt idx="1">
                  <c:v>State and local</c:v>
                </c:pt>
                <c:pt idx="2">
                  <c:v>Employer insurance premiums</c:v>
                </c:pt>
                <c:pt idx="3">
                  <c:v>Workers' comp</c:v>
                </c:pt>
                <c:pt idx="4">
                  <c:v>Household job-based premiums</c:v>
                </c:pt>
                <c:pt idx="5">
                  <c:v>Out-of-pocket spending</c:v>
                </c:pt>
                <c:pt idx="6">
                  <c:v>All other spending</c:v>
                </c:pt>
                <c:pt idx="7">
                  <c:v>Other spending </c:v>
                </c:pt>
              </c:strCache>
            </c:strRef>
          </c:cat>
          <c:val>
            <c:numRef>
              <c:f>Output_4!$B$3:$B$10</c:f>
              <c:numCache>
                <c:formatCode>_("$"* #,##0_);_("$"* \(#,##0\);_("$"* "-"??_);_(@_)</c:formatCode>
                <c:ptCount val="8"/>
                <c:pt idx="0">
                  <c:v>204.38709717530497</c:v>
                </c:pt>
                <c:pt idx="1">
                  <c:v>44.873047061021509</c:v>
                </c:pt>
                <c:pt idx="2">
                  <c:v>112.94595483604951</c:v>
                </c:pt>
                <c:pt idx="3">
                  <c:v>7.2831915596294392</c:v>
                </c:pt>
                <c:pt idx="4">
                  <c:v>29.951648263106044</c:v>
                </c:pt>
                <c:pt idx="5">
                  <c:v>50.923261074277605</c:v>
                </c:pt>
                <c:pt idx="6">
                  <c:v>21.371002274926212</c:v>
                </c:pt>
                <c:pt idx="7">
                  <c:v>45.271066488838024</c:v>
                </c:pt>
              </c:numCache>
            </c:numRef>
          </c:val>
          <c:extLst>
            <c:ext xmlns:c16="http://schemas.microsoft.com/office/drawing/2014/chart" uri="{C3380CC4-5D6E-409C-BE32-E72D297353CC}">
              <c16:uniqueId val="{00000000-C6CE-4F57-A395-A0A6278DD8C7}"/>
            </c:ext>
          </c:extLst>
        </c:ser>
        <c:dLbls>
          <c:showLegendKey val="0"/>
          <c:showVal val="0"/>
          <c:showCatName val="0"/>
          <c:showSerName val="0"/>
          <c:showPercent val="0"/>
          <c:showBubbleSize val="0"/>
          <c:showLeaderLines val="1"/>
        </c:dLbls>
        <c:gapWidth val="100"/>
        <c:splitType val="cust"/>
        <c:custSplit>
          <c:secondPiePt val="2"/>
          <c:secondPiePt val="3"/>
          <c:secondPiePt val="4"/>
          <c:secondPiePt val="5"/>
          <c:secondPiePt val="6"/>
        </c:custSplit>
        <c:secondPieSize val="100"/>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48135584215648E-2"/>
          <c:y val="3.6712552539420663E-2"/>
          <c:w val="0.7120274043295175"/>
          <c:h val="0.86119317635322679"/>
        </c:manualLayout>
      </c:layout>
      <c:barChart>
        <c:barDir val="col"/>
        <c:grouping val="stacked"/>
        <c:varyColors val="0"/>
        <c:ser>
          <c:idx val="2"/>
          <c:order val="0"/>
          <c:tx>
            <c:strRef>
              <c:f>Output_4!$A$31</c:f>
              <c:strCache>
                <c:ptCount val="1"/>
                <c:pt idx="0">
                  <c:v>Employer and household spending</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Output_4!$B$28:$C$28</c:f>
              <c:strCache>
                <c:ptCount val="2"/>
                <c:pt idx="0">
                  <c:v>Baseline 2022</c:v>
                </c:pt>
                <c:pt idx="1">
                  <c:v>Baseline 2031</c:v>
                </c:pt>
              </c:strCache>
            </c:strRef>
          </c:cat>
          <c:val>
            <c:numRef>
              <c:f>Output_4!$B$31:$C$31</c:f>
              <c:numCache>
                <c:formatCode>_("$"* #,##0_);_("$"* \(#,##0\);_("$"* "-"??_);_(@_)</c:formatCode>
                <c:ptCount val="2"/>
                <c:pt idx="0">
                  <c:v>222.47505800798882</c:v>
                </c:pt>
                <c:pt idx="1">
                  <c:v>269.26923672075401</c:v>
                </c:pt>
              </c:numCache>
            </c:numRef>
          </c:val>
          <c:extLst>
            <c:ext xmlns:c16="http://schemas.microsoft.com/office/drawing/2014/chart" uri="{C3380CC4-5D6E-409C-BE32-E72D297353CC}">
              <c16:uniqueId val="{00000003-D8A5-49FE-9A60-79BBEA3DCE39}"/>
            </c:ext>
          </c:extLst>
        </c:ser>
        <c:ser>
          <c:idx val="0"/>
          <c:order val="1"/>
          <c:tx>
            <c:strRef>
              <c:f>Output_4!$A$29</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Output_4!$B$28:$C$28</c:f>
              <c:strCache>
                <c:ptCount val="2"/>
                <c:pt idx="0">
                  <c:v>Baseline 2022</c:v>
                </c:pt>
                <c:pt idx="1">
                  <c:v>Baseline 2031</c:v>
                </c:pt>
              </c:strCache>
            </c:strRef>
          </c:cat>
          <c:val>
            <c:numRef>
              <c:f>Output_4!$B$29:$C$29</c:f>
              <c:numCache>
                <c:formatCode>_("$"* #,##0_);_("$"* \(#,##0\);_("$"* "-"??_);_(@_)</c:formatCode>
                <c:ptCount val="2"/>
                <c:pt idx="0">
                  <c:v>204.38709717530497</c:v>
                </c:pt>
                <c:pt idx="1">
                  <c:v>296.45540028663657</c:v>
                </c:pt>
              </c:numCache>
            </c:numRef>
          </c:val>
          <c:extLst>
            <c:ext xmlns:c16="http://schemas.microsoft.com/office/drawing/2014/chart" uri="{C3380CC4-5D6E-409C-BE32-E72D297353CC}">
              <c16:uniqueId val="{00000000-D8A5-49FE-9A60-79BBEA3DCE39}"/>
            </c:ext>
          </c:extLst>
        </c:ser>
        <c:ser>
          <c:idx val="1"/>
          <c:order val="2"/>
          <c:tx>
            <c:strRef>
              <c:f>Output_4!$A$30</c:f>
              <c:strCache>
                <c:ptCount val="1"/>
                <c:pt idx="0">
                  <c:v>State and local</c:v>
                </c:pt>
              </c:strCache>
            </c:strRef>
          </c:tx>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Output_4!$B$28:$C$28</c:f>
              <c:strCache>
                <c:ptCount val="2"/>
                <c:pt idx="0">
                  <c:v>Baseline 2022</c:v>
                </c:pt>
                <c:pt idx="1">
                  <c:v>Baseline 2031</c:v>
                </c:pt>
              </c:strCache>
            </c:strRef>
          </c:cat>
          <c:val>
            <c:numRef>
              <c:f>Output_4!$B$30:$C$30</c:f>
              <c:numCache>
                <c:formatCode>_("$"* #,##0_);_("$"* \(#,##0\);_("$"* "-"??_);_(@_)</c:formatCode>
                <c:ptCount val="2"/>
                <c:pt idx="0">
                  <c:v>44.873047061021509</c:v>
                </c:pt>
                <c:pt idx="1">
                  <c:v>60.518536039282218</c:v>
                </c:pt>
              </c:numCache>
            </c:numRef>
          </c:val>
          <c:extLst>
            <c:ext xmlns:c16="http://schemas.microsoft.com/office/drawing/2014/chart" uri="{C3380CC4-5D6E-409C-BE32-E72D297353CC}">
              <c16:uniqueId val="{00000001-D8A5-49FE-9A60-79BBEA3DCE39}"/>
            </c:ext>
          </c:extLst>
        </c:ser>
        <c:ser>
          <c:idx val="3"/>
          <c:order val="3"/>
          <c:tx>
            <c:strRef>
              <c:f>Output_4!$A$32</c:f>
              <c:strCache>
                <c:ptCount val="1"/>
                <c:pt idx="0">
                  <c:v>Other spending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Output_4!$B$28:$C$28</c:f>
              <c:strCache>
                <c:ptCount val="2"/>
                <c:pt idx="0">
                  <c:v>Baseline 2022</c:v>
                </c:pt>
                <c:pt idx="1">
                  <c:v>Baseline 2031</c:v>
                </c:pt>
              </c:strCache>
            </c:strRef>
          </c:cat>
          <c:val>
            <c:numRef>
              <c:f>Output_4!$B$32:$C$32</c:f>
              <c:numCache>
                <c:formatCode>_("$"* #,##0_);_("$"* \(#,##0\);_("$"* "-"??_);_(@_)</c:formatCode>
                <c:ptCount val="2"/>
                <c:pt idx="0">
                  <c:v>45.271066488838024</c:v>
                </c:pt>
                <c:pt idx="1">
                  <c:v>48.804149375568784</c:v>
                </c:pt>
              </c:numCache>
            </c:numRef>
          </c:val>
          <c:extLst>
            <c:ext xmlns:c16="http://schemas.microsoft.com/office/drawing/2014/chart" uri="{C3380CC4-5D6E-409C-BE32-E72D297353CC}">
              <c16:uniqueId val="{00000004-D8A5-49FE-9A60-79BBEA3DCE39}"/>
            </c:ext>
          </c:extLst>
        </c:ser>
        <c:dLbls>
          <c:showLegendKey val="0"/>
          <c:showVal val="0"/>
          <c:showCatName val="0"/>
          <c:showSerName val="0"/>
          <c:showPercent val="0"/>
          <c:showBubbleSize val="0"/>
        </c:dLbls>
        <c:gapWidth val="150"/>
        <c:overlap val="100"/>
        <c:axId val="1320201552"/>
        <c:axId val="1320199056"/>
      </c:barChart>
      <c:catAx>
        <c:axId val="132020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20199056"/>
        <c:crosses val="autoZero"/>
        <c:auto val="1"/>
        <c:lblAlgn val="ctr"/>
        <c:lblOffset val="100"/>
        <c:noMultiLvlLbl val="0"/>
      </c:catAx>
      <c:valAx>
        <c:axId val="1320199056"/>
        <c:scaling>
          <c:orientation val="minMax"/>
        </c:scaling>
        <c:delete val="1"/>
        <c:axPos val="l"/>
        <c:numFmt formatCode="_(&quot;$&quot;* #,##0_);_(&quot;$&quot;* \(#,##0\);_(&quot;$&quot;* &quot;-&quot;??_);_(@_)" sourceLinked="1"/>
        <c:majorTickMark val="none"/>
        <c:minorTickMark val="none"/>
        <c:tickLblPos val="nextTo"/>
        <c:crossAx val="1320201552"/>
        <c:crosses val="autoZero"/>
        <c:crossBetween val="between"/>
      </c:valAx>
      <c:spPr>
        <a:noFill/>
        <a:ln>
          <a:noFill/>
        </a:ln>
        <a:effectLst/>
      </c:spPr>
    </c:plotArea>
    <c:legend>
      <c:legendPos val="r"/>
      <c:layout>
        <c:manualLayout>
          <c:xMode val="edge"/>
          <c:yMode val="edge"/>
          <c:x val="0.7618725058160627"/>
          <c:y val="0.11306809193012367"/>
          <c:w val="0.20590073095445036"/>
          <c:h val="0.7905513400213074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8480248633181"/>
          <c:y val="3.0037542986798723E-2"/>
          <c:w val="0.58254109933009279"/>
          <c:h val="0.75230603380342065"/>
        </c:manualLayout>
      </c:layout>
      <c:barChart>
        <c:barDir val="col"/>
        <c:grouping val="stacked"/>
        <c:varyColors val="0"/>
        <c:ser>
          <c:idx val="3"/>
          <c:order val="0"/>
          <c:tx>
            <c:strRef>
              <c:f>Output_4!$A$52</c:f>
              <c:strCache>
                <c:ptCount val="1"/>
                <c:pt idx="0">
                  <c:v>Non-federal funds repurposed under UF</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Output_4!$B$48:$C$48</c:f>
              <c:strCache>
                <c:ptCount val="2"/>
                <c:pt idx="0">
                  <c:v>Baseline</c:v>
                </c:pt>
                <c:pt idx="1">
                  <c:v>UF no cost sharing, 
no LTSS expansion</c:v>
                </c:pt>
              </c:strCache>
            </c:strRef>
          </c:cat>
          <c:val>
            <c:numRef>
              <c:f>Output_4!$B$52:$C$52</c:f>
              <c:numCache>
                <c:formatCode>_("$"* #,##0_);_("$"* \(#,##0\);_("$"* "-"??_);_(@_)</c:formatCode>
                <c:ptCount val="2"/>
                <c:pt idx="1">
                  <c:v>206.62570835932843</c:v>
                </c:pt>
              </c:numCache>
            </c:numRef>
          </c:val>
          <c:extLst>
            <c:ext xmlns:c16="http://schemas.microsoft.com/office/drawing/2014/chart" uri="{C3380CC4-5D6E-409C-BE32-E72D297353CC}">
              <c16:uniqueId val="{00000003-6844-4BD0-9593-089504C7591E}"/>
            </c:ext>
          </c:extLst>
        </c:ser>
        <c:ser>
          <c:idx val="2"/>
          <c:order val="1"/>
          <c:tx>
            <c:strRef>
              <c:f>Output_4!$A$51</c:f>
              <c:strCache>
                <c:ptCount val="1"/>
                <c:pt idx="0">
                  <c:v>Employer and household spending</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Output_4!$B$48:$C$48</c:f>
              <c:strCache>
                <c:ptCount val="2"/>
                <c:pt idx="0">
                  <c:v>Baseline</c:v>
                </c:pt>
                <c:pt idx="1">
                  <c:v>UF no cost sharing, 
no LTSS expansion</c:v>
                </c:pt>
              </c:strCache>
            </c:strRef>
          </c:cat>
          <c:val>
            <c:numRef>
              <c:f>Output_4!$B$51:$C$51</c:f>
              <c:numCache>
                <c:formatCode>_("$"* #,##0_);_("$"* \(#,##0\);_("$"* "-"??_);_(@_)</c:formatCode>
                <c:ptCount val="2"/>
                <c:pt idx="0">
                  <c:v>222.47505800798882</c:v>
                </c:pt>
              </c:numCache>
            </c:numRef>
          </c:val>
          <c:extLst>
            <c:ext xmlns:c16="http://schemas.microsoft.com/office/drawing/2014/chart" uri="{C3380CC4-5D6E-409C-BE32-E72D297353CC}">
              <c16:uniqueId val="{00000002-6844-4BD0-9593-089504C7591E}"/>
            </c:ext>
          </c:extLst>
        </c:ser>
        <c:ser>
          <c:idx val="0"/>
          <c:order val="2"/>
          <c:tx>
            <c:strRef>
              <c:f>Output_4!$A$49</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Output_4!$B$48:$C$48</c:f>
              <c:strCache>
                <c:ptCount val="2"/>
                <c:pt idx="0">
                  <c:v>Baseline</c:v>
                </c:pt>
                <c:pt idx="1">
                  <c:v>UF no cost sharing, 
no LTSS expansion</c:v>
                </c:pt>
              </c:strCache>
            </c:strRef>
          </c:cat>
          <c:val>
            <c:numRef>
              <c:f>Output_4!$B$49:$C$49</c:f>
              <c:numCache>
                <c:formatCode>_("$"* #,##0_);_("$"* \(#,##0\);_("$"* "-"??_);_(@_)</c:formatCode>
                <c:ptCount val="2"/>
                <c:pt idx="0">
                  <c:v>204.38709717530497</c:v>
                </c:pt>
                <c:pt idx="1">
                  <c:v>204.38709717530497</c:v>
                </c:pt>
              </c:numCache>
            </c:numRef>
          </c:val>
          <c:extLst>
            <c:ext xmlns:c16="http://schemas.microsoft.com/office/drawing/2014/chart" uri="{C3380CC4-5D6E-409C-BE32-E72D297353CC}">
              <c16:uniqueId val="{00000000-6844-4BD0-9593-089504C7591E}"/>
            </c:ext>
          </c:extLst>
        </c:ser>
        <c:ser>
          <c:idx val="1"/>
          <c:order val="3"/>
          <c:tx>
            <c:strRef>
              <c:f>Output_4!$A$50</c:f>
              <c:strCache>
                <c:ptCount val="1"/>
                <c:pt idx="0">
                  <c:v>State and local</c:v>
                </c:pt>
              </c:strCache>
            </c:strRef>
          </c:tx>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Output_4!$B$48:$C$48</c:f>
              <c:strCache>
                <c:ptCount val="2"/>
                <c:pt idx="0">
                  <c:v>Baseline</c:v>
                </c:pt>
                <c:pt idx="1">
                  <c:v>UF no cost sharing, 
no LTSS expansion</c:v>
                </c:pt>
              </c:strCache>
            </c:strRef>
          </c:cat>
          <c:val>
            <c:numRef>
              <c:f>Output_4!$B$50:$C$50</c:f>
              <c:numCache>
                <c:formatCode>_("$"* #,##0_);_("$"* \(#,##0\);_("$"* "-"??_);_(@_)</c:formatCode>
                <c:ptCount val="2"/>
                <c:pt idx="0">
                  <c:v>44.873047061021509</c:v>
                </c:pt>
                <c:pt idx="1">
                  <c:v>44.873047061021509</c:v>
                </c:pt>
              </c:numCache>
            </c:numRef>
          </c:val>
          <c:extLst>
            <c:ext xmlns:c16="http://schemas.microsoft.com/office/drawing/2014/chart" uri="{C3380CC4-5D6E-409C-BE32-E72D297353CC}">
              <c16:uniqueId val="{00000001-6844-4BD0-9593-089504C7591E}"/>
            </c:ext>
          </c:extLst>
        </c:ser>
        <c:ser>
          <c:idx val="4"/>
          <c:order val="4"/>
          <c:tx>
            <c:strRef>
              <c:f>Output_4!$A$53</c:f>
              <c:strCache>
                <c:ptCount val="1"/>
                <c:pt idx="0">
                  <c:v>Other spending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Output_4!$B$48:$C$48</c:f>
              <c:strCache>
                <c:ptCount val="2"/>
                <c:pt idx="0">
                  <c:v>Baseline</c:v>
                </c:pt>
                <c:pt idx="1">
                  <c:v>UF no cost sharing, 
no LTSS expansion</c:v>
                </c:pt>
              </c:strCache>
            </c:strRef>
          </c:cat>
          <c:val>
            <c:numRef>
              <c:f>Output_4!$B$53:$C$53</c:f>
              <c:numCache>
                <c:formatCode>_("$"* #,##0_);_("$"* \(#,##0\);_("$"* "-"??_);_(@_)</c:formatCode>
                <c:ptCount val="2"/>
                <c:pt idx="0">
                  <c:v>45.271066488838024</c:v>
                </c:pt>
                <c:pt idx="1">
                  <c:v>45.271066488838024</c:v>
                </c:pt>
              </c:numCache>
            </c:numRef>
          </c:val>
          <c:extLst>
            <c:ext xmlns:c16="http://schemas.microsoft.com/office/drawing/2014/chart" uri="{C3380CC4-5D6E-409C-BE32-E72D297353CC}">
              <c16:uniqueId val="{00000001-B7FD-4AD5-B964-9E5AD4182A27}"/>
            </c:ext>
          </c:extLst>
        </c:ser>
        <c:dLbls>
          <c:showLegendKey val="0"/>
          <c:showVal val="0"/>
          <c:showCatName val="0"/>
          <c:showSerName val="0"/>
          <c:showPercent val="0"/>
          <c:showBubbleSize val="0"/>
        </c:dLbls>
        <c:gapWidth val="150"/>
        <c:overlap val="100"/>
        <c:axId val="1320201552"/>
        <c:axId val="1320199056"/>
      </c:barChart>
      <c:catAx>
        <c:axId val="132020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20199056"/>
        <c:crosses val="autoZero"/>
        <c:auto val="1"/>
        <c:lblAlgn val="ctr"/>
        <c:lblOffset val="100"/>
        <c:noMultiLvlLbl val="0"/>
      </c:catAx>
      <c:valAx>
        <c:axId val="1320199056"/>
        <c:scaling>
          <c:orientation val="minMax"/>
        </c:scaling>
        <c:delete val="1"/>
        <c:axPos val="l"/>
        <c:numFmt formatCode="_(&quot;$&quot;* #,##0_);_(&quot;$&quot;* \(#,##0\);_(&quot;$&quot;* &quot;-&quot;??_);_(@_)" sourceLinked="1"/>
        <c:majorTickMark val="none"/>
        <c:minorTickMark val="none"/>
        <c:tickLblPos val="nextTo"/>
        <c:crossAx val="1320201552"/>
        <c:crosses val="autoZero"/>
        <c:crossBetween val="between"/>
      </c:valAx>
      <c:spPr>
        <a:noFill/>
        <a:ln>
          <a:noFill/>
        </a:ln>
        <a:effectLst/>
      </c:spPr>
    </c:plotArea>
    <c:legend>
      <c:legendPos val="l"/>
      <c:layout>
        <c:manualLayout>
          <c:xMode val="edge"/>
          <c:yMode val="edge"/>
          <c:x val="1.137171031866308E-2"/>
          <c:y val="0.20625951951804647"/>
          <c:w val="0.33156415189202426"/>
          <c:h val="0.6415135326690588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524431021464765E-2"/>
          <c:y val="3.0037542986798723E-2"/>
          <c:w val="0.71169956495164133"/>
          <c:h val="0.69175102481407658"/>
        </c:manualLayout>
      </c:layout>
      <c:barChart>
        <c:barDir val="col"/>
        <c:grouping val="stacked"/>
        <c:varyColors val="0"/>
        <c:ser>
          <c:idx val="3"/>
          <c:order val="0"/>
          <c:tx>
            <c:strRef>
              <c:f>Output_4!$A$76</c:f>
              <c:strCache>
                <c:ptCount val="1"/>
                <c:pt idx="0">
                  <c:v>Non-federal funds repurposed under UF</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2FBF-4BC9-A620-52286C4AF86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Output_4!$B$72:$F$72</c:f>
              <c:strCache>
                <c:ptCount val="5"/>
                <c:pt idx="0">
                  <c:v>Baseline</c:v>
                </c:pt>
                <c:pt idx="1">
                  <c:v>UF income-
based cost 
sharing,
no LTSS 
expansion</c:v>
                </c:pt>
                <c:pt idx="2">
                  <c:v>UF no cost 
sharing, 
no LTSS 
expansion</c:v>
                </c:pt>
                <c:pt idx="3">
                  <c:v>UF income-
based cost 
sharing,
with LTSS 
expansion</c:v>
                </c:pt>
                <c:pt idx="4">
                  <c:v>UF no cost 
sharing, 
with LTSS 
expansion </c:v>
                </c:pt>
              </c:strCache>
            </c:strRef>
          </c:cat>
          <c:val>
            <c:numRef>
              <c:f>Output_4!$B$76:$F$76</c:f>
              <c:numCache>
                <c:formatCode>_("$"* #,##0_);_("$"* \(#,##0\);_("$"* "-"??_);_(@_)</c:formatCode>
                <c:ptCount val="5"/>
                <c:pt idx="0">
                  <c:v>0</c:v>
                </c:pt>
                <c:pt idx="1">
                  <c:v>167.90571450115408</c:v>
                </c:pt>
                <c:pt idx="2">
                  <c:v>206.62570835932843</c:v>
                </c:pt>
                <c:pt idx="3">
                  <c:v>193.86628527619183</c:v>
                </c:pt>
                <c:pt idx="4">
                  <c:v>232.60191237952603</c:v>
                </c:pt>
              </c:numCache>
            </c:numRef>
          </c:val>
          <c:extLst>
            <c:ext xmlns:c16="http://schemas.microsoft.com/office/drawing/2014/chart" uri="{C3380CC4-5D6E-409C-BE32-E72D297353CC}">
              <c16:uniqueId val="{00000003-2FBF-4BC9-A620-52286C4AF860}"/>
            </c:ext>
          </c:extLst>
        </c:ser>
        <c:ser>
          <c:idx val="2"/>
          <c:order val="1"/>
          <c:tx>
            <c:strRef>
              <c:f>Output_4!$A$75</c:f>
              <c:strCache>
                <c:ptCount val="1"/>
                <c:pt idx="0">
                  <c:v>Employer and household spending</c:v>
                </c:pt>
              </c:strCache>
            </c:strRef>
          </c:tx>
          <c:spPr>
            <a:solidFill>
              <a:schemeClr val="accent6">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38E5-48B2-868A-E64D1D9A4D9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Output_4!$B$72:$F$72</c:f>
              <c:strCache>
                <c:ptCount val="5"/>
                <c:pt idx="0">
                  <c:v>Baseline</c:v>
                </c:pt>
                <c:pt idx="1">
                  <c:v>UF income-
based cost 
sharing,
no LTSS 
expansion</c:v>
                </c:pt>
                <c:pt idx="2">
                  <c:v>UF no cost 
sharing, 
no LTSS 
expansion</c:v>
                </c:pt>
                <c:pt idx="3">
                  <c:v>UF income-
based cost 
sharing,
with LTSS 
expansion</c:v>
                </c:pt>
                <c:pt idx="4">
                  <c:v>UF no cost 
sharing, 
with LTSS 
expansion </c:v>
                </c:pt>
              </c:strCache>
            </c:strRef>
          </c:cat>
          <c:val>
            <c:numRef>
              <c:f>Output_4!$B$75:$F$75</c:f>
              <c:numCache>
                <c:formatCode>_("$"* #,##0_);_("$"* \(#,##0\);_("$"* "-"??_);_(@_)</c:formatCode>
                <c:ptCount val="5"/>
                <c:pt idx="0">
                  <c:v>222.47505800798882</c:v>
                </c:pt>
                <c:pt idx="1">
                  <c:v>19.789477447491631</c:v>
                </c:pt>
                <c:pt idx="2">
                  <c:v>0</c:v>
                </c:pt>
                <c:pt idx="3">
                  <c:v>19.789477447491631</c:v>
                </c:pt>
              </c:numCache>
            </c:numRef>
          </c:val>
          <c:extLst>
            <c:ext xmlns:c16="http://schemas.microsoft.com/office/drawing/2014/chart" uri="{C3380CC4-5D6E-409C-BE32-E72D297353CC}">
              <c16:uniqueId val="{00000002-2FBF-4BC9-A620-52286C4AF860}"/>
            </c:ext>
          </c:extLst>
        </c:ser>
        <c:ser>
          <c:idx val="0"/>
          <c:order val="2"/>
          <c:tx>
            <c:strRef>
              <c:f>Output_4!$A$73</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Output_4!$B$72:$F$72</c:f>
              <c:strCache>
                <c:ptCount val="5"/>
                <c:pt idx="0">
                  <c:v>Baseline</c:v>
                </c:pt>
                <c:pt idx="1">
                  <c:v>UF income-
based cost 
sharing,
no LTSS 
expansion</c:v>
                </c:pt>
                <c:pt idx="2">
                  <c:v>UF no cost 
sharing, 
no LTSS 
expansion</c:v>
                </c:pt>
                <c:pt idx="3">
                  <c:v>UF income-
based cost 
sharing,
with LTSS 
expansion</c:v>
                </c:pt>
                <c:pt idx="4">
                  <c:v>UF no cost 
sharing, 
with LTSS 
expansion </c:v>
                </c:pt>
              </c:strCache>
            </c:strRef>
          </c:cat>
          <c:val>
            <c:numRef>
              <c:f>Output_4!$B$73:$F$73</c:f>
              <c:numCache>
                <c:formatCode>_("$"* #,##0_);_("$"* \(#,##0\);_("$"* "-"??_);_(@_)</c:formatCode>
                <c:ptCount val="5"/>
                <c:pt idx="0">
                  <c:v>204.38709717530497</c:v>
                </c:pt>
                <c:pt idx="1">
                  <c:v>204.38709717530497</c:v>
                </c:pt>
                <c:pt idx="2">
                  <c:v>204.38709717530497</c:v>
                </c:pt>
                <c:pt idx="3">
                  <c:v>204.38709717530497</c:v>
                </c:pt>
                <c:pt idx="4">
                  <c:v>204.38709717530497</c:v>
                </c:pt>
              </c:numCache>
            </c:numRef>
          </c:val>
          <c:extLst>
            <c:ext xmlns:c16="http://schemas.microsoft.com/office/drawing/2014/chart" uri="{C3380CC4-5D6E-409C-BE32-E72D297353CC}">
              <c16:uniqueId val="{00000000-2FBF-4BC9-A620-52286C4AF860}"/>
            </c:ext>
          </c:extLst>
        </c:ser>
        <c:ser>
          <c:idx val="1"/>
          <c:order val="3"/>
          <c:tx>
            <c:strRef>
              <c:f>Output_4!$A$74</c:f>
              <c:strCache>
                <c:ptCount val="1"/>
                <c:pt idx="0">
                  <c:v>State and local</c:v>
                </c:pt>
              </c:strCache>
            </c:strRef>
          </c:tx>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Output_4!$B$72:$F$72</c:f>
              <c:strCache>
                <c:ptCount val="5"/>
                <c:pt idx="0">
                  <c:v>Baseline</c:v>
                </c:pt>
                <c:pt idx="1">
                  <c:v>UF income-
based cost 
sharing,
no LTSS 
expansion</c:v>
                </c:pt>
                <c:pt idx="2">
                  <c:v>UF no cost 
sharing, 
no LTSS 
expansion</c:v>
                </c:pt>
                <c:pt idx="3">
                  <c:v>UF income-
based cost 
sharing,
with LTSS 
expansion</c:v>
                </c:pt>
                <c:pt idx="4">
                  <c:v>UF no cost 
sharing, 
with LTSS 
expansion </c:v>
                </c:pt>
              </c:strCache>
            </c:strRef>
          </c:cat>
          <c:val>
            <c:numRef>
              <c:f>Output_4!$B$74:$F$74</c:f>
              <c:numCache>
                <c:formatCode>_("$"* #,##0_);_("$"* \(#,##0\);_("$"* "-"??_);_(@_)</c:formatCode>
                <c:ptCount val="5"/>
                <c:pt idx="0">
                  <c:v>44.873047061021509</c:v>
                </c:pt>
                <c:pt idx="1">
                  <c:v>44.873047061021509</c:v>
                </c:pt>
                <c:pt idx="2">
                  <c:v>44.873047061021509</c:v>
                </c:pt>
                <c:pt idx="3">
                  <c:v>44.873047061021509</c:v>
                </c:pt>
                <c:pt idx="4">
                  <c:v>44.873047061021509</c:v>
                </c:pt>
              </c:numCache>
            </c:numRef>
          </c:val>
          <c:extLst>
            <c:ext xmlns:c16="http://schemas.microsoft.com/office/drawing/2014/chart" uri="{C3380CC4-5D6E-409C-BE32-E72D297353CC}">
              <c16:uniqueId val="{00000001-2FBF-4BC9-A620-52286C4AF860}"/>
            </c:ext>
          </c:extLst>
        </c:ser>
        <c:ser>
          <c:idx val="4"/>
          <c:order val="4"/>
          <c:tx>
            <c:strRef>
              <c:f>Output_4!$A$77</c:f>
              <c:strCache>
                <c:ptCount val="1"/>
                <c:pt idx="0">
                  <c:v>Other spending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Output_4!$B$72:$F$72</c:f>
              <c:strCache>
                <c:ptCount val="5"/>
                <c:pt idx="0">
                  <c:v>Baseline</c:v>
                </c:pt>
                <c:pt idx="1">
                  <c:v>UF income-
based cost 
sharing,
no LTSS 
expansion</c:v>
                </c:pt>
                <c:pt idx="2">
                  <c:v>UF no cost 
sharing, 
no LTSS 
expansion</c:v>
                </c:pt>
                <c:pt idx="3">
                  <c:v>UF income-
based cost 
sharing,
with LTSS 
expansion</c:v>
                </c:pt>
                <c:pt idx="4">
                  <c:v>UF no cost 
sharing, 
with LTSS 
expansion </c:v>
                </c:pt>
              </c:strCache>
            </c:strRef>
          </c:cat>
          <c:val>
            <c:numRef>
              <c:f>Output_4!$B$77:$F$77</c:f>
              <c:numCache>
                <c:formatCode>_("$"* #,##0_);_("$"* \(#,##0\);_("$"* "-"??_);_(@_)</c:formatCode>
                <c:ptCount val="5"/>
                <c:pt idx="0">
                  <c:v>45.271066488838024</c:v>
                </c:pt>
                <c:pt idx="1">
                  <c:v>45.271066488838024</c:v>
                </c:pt>
                <c:pt idx="2">
                  <c:v>45.271066488838024</c:v>
                </c:pt>
                <c:pt idx="3">
                  <c:v>45.271066488838024</c:v>
                </c:pt>
                <c:pt idx="4">
                  <c:v>45.271066488838024</c:v>
                </c:pt>
              </c:numCache>
            </c:numRef>
          </c:val>
          <c:extLst>
            <c:ext xmlns:c16="http://schemas.microsoft.com/office/drawing/2014/chart" uri="{C3380CC4-5D6E-409C-BE32-E72D297353CC}">
              <c16:uniqueId val="{00000004-2FBF-4BC9-A620-52286C4AF860}"/>
            </c:ext>
          </c:extLst>
        </c:ser>
        <c:dLbls>
          <c:showLegendKey val="0"/>
          <c:showVal val="0"/>
          <c:showCatName val="0"/>
          <c:showSerName val="0"/>
          <c:showPercent val="0"/>
          <c:showBubbleSize val="0"/>
        </c:dLbls>
        <c:gapWidth val="150"/>
        <c:overlap val="100"/>
        <c:axId val="1320201552"/>
        <c:axId val="1320199056"/>
      </c:barChart>
      <c:catAx>
        <c:axId val="132020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20199056"/>
        <c:crosses val="autoZero"/>
        <c:auto val="1"/>
        <c:lblAlgn val="ctr"/>
        <c:lblOffset val="100"/>
        <c:noMultiLvlLbl val="0"/>
      </c:catAx>
      <c:valAx>
        <c:axId val="1320199056"/>
        <c:scaling>
          <c:orientation val="minMax"/>
        </c:scaling>
        <c:delete val="1"/>
        <c:axPos val="l"/>
        <c:numFmt formatCode="_(&quot;$&quot;* #,##0_);_(&quot;$&quot;* \(#,##0\);_(&quot;$&quot;* &quot;-&quot;??_);_(@_)" sourceLinked="1"/>
        <c:majorTickMark val="none"/>
        <c:minorTickMark val="none"/>
        <c:tickLblPos val="nextTo"/>
        <c:crossAx val="1320201552"/>
        <c:crosses val="autoZero"/>
        <c:crossBetween val="between"/>
      </c:valAx>
      <c:spPr>
        <a:noFill/>
        <a:ln>
          <a:noFill/>
        </a:ln>
        <a:effectLst/>
      </c:spPr>
    </c:plotArea>
    <c:legend>
      <c:legendPos val="r"/>
      <c:layout>
        <c:manualLayout>
          <c:xMode val="edge"/>
          <c:yMode val="edge"/>
          <c:x val="0.79693175339383948"/>
          <c:y val="8.382138103216491E-2"/>
          <c:w val="0.19524045795645409"/>
          <c:h val="0.9030045760680253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4320127792246E-2"/>
          <c:y val="3.0037542986798723E-2"/>
          <c:w val="0.62167999548001718"/>
          <c:h val="0.69175102481407658"/>
        </c:manualLayout>
      </c:layout>
      <c:barChart>
        <c:barDir val="col"/>
        <c:grouping val="stacked"/>
        <c:varyColors val="0"/>
        <c:ser>
          <c:idx val="1"/>
          <c:order val="0"/>
          <c:tx>
            <c:strRef>
              <c:f>Output_4!$A$94</c:f>
              <c:strCache>
                <c:ptCount val="1"/>
                <c:pt idx="0">
                  <c:v>Remaining expenditures to be covered by non-federal funds repurposed under UF</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Output_4!$B$91:$E$91</c:f>
              <c:strCache>
                <c:ptCount val="4"/>
                <c:pt idx="0">
                  <c:v>GDP, 
state captures all savings</c:v>
                </c:pt>
                <c:pt idx="1">
                  <c:v>NHE-0.5%, 
state captures all savings</c:v>
                </c:pt>
                <c:pt idx="2">
                  <c:v>GDP, 
feds captures their savings</c:v>
                </c:pt>
                <c:pt idx="3">
                  <c:v>NHE-0.5%, 
feds captures their savings</c:v>
                </c:pt>
              </c:strCache>
            </c:strRef>
          </c:cat>
          <c:val>
            <c:numRef>
              <c:f>Output_4!$B$94:$E$94</c:f>
              <c:numCache>
                <c:formatCode>_("$"* #,##0_);_("$"* \(#,##0\);_("$"* "-"??_);_(@_)</c:formatCode>
                <c:ptCount val="4"/>
                <c:pt idx="0">
                  <c:v>193.34024778821239</c:v>
                </c:pt>
                <c:pt idx="1">
                  <c:v>223.06612958624063</c:v>
                </c:pt>
                <c:pt idx="2">
                  <c:v>224.23611341938403</c:v>
                </c:pt>
                <c:pt idx="3">
                  <c:v>235.3079725875439</c:v>
                </c:pt>
              </c:numCache>
            </c:numRef>
          </c:val>
          <c:extLst>
            <c:ext xmlns:c16="http://schemas.microsoft.com/office/drawing/2014/chart" uri="{C3380CC4-5D6E-409C-BE32-E72D297353CC}">
              <c16:uniqueId val="{00000005-9406-41BA-B408-367BC35DE5B2}"/>
            </c:ext>
          </c:extLst>
        </c:ser>
        <c:ser>
          <c:idx val="2"/>
          <c:order val="1"/>
          <c:tx>
            <c:strRef>
              <c:f>Output_4!$A$92</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Output_4!$B$91:$E$91</c:f>
              <c:strCache>
                <c:ptCount val="4"/>
                <c:pt idx="0">
                  <c:v>GDP, 
state captures all savings</c:v>
                </c:pt>
                <c:pt idx="1">
                  <c:v>NHE-0.5%, 
state captures all savings</c:v>
                </c:pt>
                <c:pt idx="2">
                  <c:v>GDP, 
feds captures their savings</c:v>
                </c:pt>
                <c:pt idx="3">
                  <c:v>NHE-0.5%, 
feds captures their savings</c:v>
                </c:pt>
              </c:strCache>
            </c:strRef>
          </c:cat>
          <c:val>
            <c:numRef>
              <c:f>Output_4!$B$92:$E$92</c:f>
              <c:numCache>
                <c:formatCode>_("$"* #,##0_);_("$"* \(#,##0\);_("$"* "-"??_);_(@_)</c:formatCode>
                <c:ptCount val="4"/>
                <c:pt idx="0">
                  <c:v>296.45540028663657</c:v>
                </c:pt>
                <c:pt idx="1">
                  <c:v>296.45540028663657</c:v>
                </c:pt>
                <c:pt idx="2">
                  <c:v>265.55953465546492</c:v>
                </c:pt>
                <c:pt idx="3">
                  <c:v>284.21355728533331</c:v>
                </c:pt>
              </c:numCache>
            </c:numRef>
          </c:val>
          <c:extLst>
            <c:ext xmlns:c16="http://schemas.microsoft.com/office/drawing/2014/chart" uri="{C3380CC4-5D6E-409C-BE32-E72D297353CC}">
              <c16:uniqueId val="{00000003-9406-41BA-B408-367BC35DE5B2}"/>
            </c:ext>
          </c:extLst>
        </c:ser>
        <c:ser>
          <c:idx val="5"/>
          <c:order val="2"/>
          <c:tx>
            <c:strRef>
              <c:f>Output_4!$A$93</c:f>
              <c:strCache>
                <c:ptCount val="1"/>
                <c:pt idx="0">
                  <c:v>State and local </c:v>
                </c:pt>
              </c:strCache>
            </c:strRef>
          </c:tx>
          <c:spPr>
            <a:solidFill>
              <a:srgbClr val="CC99FF"/>
            </a:solidFill>
            <a:ln>
              <a:noFill/>
            </a:ln>
            <a:effectLst/>
          </c:spPr>
          <c:invertIfNegative val="0"/>
          <c:cat>
            <c:strRef>
              <c:f>Output_4!$B$91:$E$91</c:f>
              <c:strCache>
                <c:ptCount val="4"/>
                <c:pt idx="0">
                  <c:v>GDP, 
state captures all savings</c:v>
                </c:pt>
                <c:pt idx="1">
                  <c:v>NHE-0.5%, 
state captures all savings</c:v>
                </c:pt>
                <c:pt idx="2">
                  <c:v>GDP, 
feds captures their savings</c:v>
                </c:pt>
                <c:pt idx="3">
                  <c:v>NHE-0.5%, 
feds captures their savings</c:v>
                </c:pt>
              </c:strCache>
            </c:strRef>
          </c:cat>
          <c:val>
            <c:numRef>
              <c:f>Output_4!$B$93:$E$93</c:f>
              <c:numCache>
                <c:formatCode>_("$"* #,##0_);_("$"* \(#,##0\);_("$"* "-"??_);_(@_)</c:formatCode>
                <c:ptCount val="4"/>
                <c:pt idx="0">
                  <c:v>48.381233168326368</c:v>
                </c:pt>
                <c:pt idx="1">
                  <c:v>55.945140499439148</c:v>
                </c:pt>
                <c:pt idx="2">
                  <c:v>48.381233168326368</c:v>
                </c:pt>
                <c:pt idx="3">
                  <c:v>55.945140499439148</c:v>
                </c:pt>
              </c:numCache>
            </c:numRef>
          </c:val>
          <c:extLst xmlns:c15="http://schemas.microsoft.com/office/drawing/2012/chart">
            <c:ext xmlns:c16="http://schemas.microsoft.com/office/drawing/2014/chart" uri="{C3380CC4-5D6E-409C-BE32-E72D297353CC}">
              <c16:uniqueId val="{00000008-9406-41BA-B408-367BC35DE5B2}"/>
            </c:ext>
          </c:extLst>
        </c:ser>
        <c:ser>
          <c:idx val="3"/>
          <c:order val="3"/>
          <c:tx>
            <c:strRef>
              <c:f>Output_4!$A$95</c:f>
              <c:strCache>
                <c:ptCount val="1"/>
                <c:pt idx="0">
                  <c:v>Other spending </c:v>
                </c:pt>
              </c:strCache>
            </c:strRef>
          </c:tx>
          <c:spPr>
            <a:solidFill>
              <a:schemeClr val="accent2"/>
            </a:solidFill>
            <a:ln>
              <a:noFill/>
            </a:ln>
            <a:effectLst/>
          </c:spPr>
          <c:invertIfNegative val="0"/>
          <c:cat>
            <c:strRef>
              <c:f>Output_4!$B$91:$E$91</c:f>
              <c:strCache>
                <c:ptCount val="4"/>
                <c:pt idx="0">
                  <c:v>GDP, 
state captures all savings</c:v>
                </c:pt>
                <c:pt idx="1">
                  <c:v>NHE-0.5%, 
state captures all savings</c:v>
                </c:pt>
                <c:pt idx="2">
                  <c:v>GDP, 
feds captures their savings</c:v>
                </c:pt>
                <c:pt idx="3">
                  <c:v>NHE-0.5%, 
feds captures their savings</c:v>
                </c:pt>
              </c:strCache>
            </c:strRef>
          </c:cat>
          <c:val>
            <c:numRef>
              <c:f>Output_4!$B$95:$E$95</c:f>
              <c:numCache>
                <c:formatCode>_("$"* #,##0_);_("$"* \(#,##0\);_("$"* "-"??_);_(@_)</c:formatCode>
                <c:ptCount val="4"/>
                <c:pt idx="0">
                  <c:v>48.804149375568784</c:v>
                </c:pt>
                <c:pt idx="1">
                  <c:v>48.804149375568784</c:v>
                </c:pt>
                <c:pt idx="2">
                  <c:v>48.804149375568784</c:v>
                </c:pt>
                <c:pt idx="3">
                  <c:v>48.804149375568784</c:v>
                </c:pt>
              </c:numCache>
            </c:numRef>
          </c:val>
          <c:extLst>
            <c:ext xmlns:c16="http://schemas.microsoft.com/office/drawing/2014/chart" uri="{C3380CC4-5D6E-409C-BE32-E72D297353CC}">
              <c16:uniqueId val="{00000001-9406-41BA-B408-367BC35DE5B2}"/>
            </c:ext>
          </c:extLst>
        </c:ser>
        <c:dLbls>
          <c:showLegendKey val="0"/>
          <c:showVal val="0"/>
          <c:showCatName val="0"/>
          <c:showSerName val="0"/>
          <c:showPercent val="0"/>
          <c:showBubbleSize val="0"/>
        </c:dLbls>
        <c:gapWidth val="150"/>
        <c:overlap val="100"/>
        <c:axId val="1320201552"/>
        <c:axId val="1320199056"/>
        <c:extLst>
          <c:ext xmlns:c15="http://schemas.microsoft.com/office/drawing/2012/chart" uri="{02D57815-91ED-43cb-92C2-25804820EDAC}">
            <c15:filteredBarSeries>
              <c15:ser>
                <c:idx val="4"/>
                <c:order val="4"/>
                <c:tx>
                  <c:strRef>
                    <c:extLst>
                      <c:ext uri="{02D57815-91ED-43cb-92C2-25804820EDAC}">
                        <c15:formulaRef>
                          <c15:sqref>Output_4!$A$96</c15:sqref>
                        </c15:formulaRef>
                      </c:ext>
                    </c:extLst>
                    <c:strCache>
                      <c:ptCount val="1"/>
                      <c:pt idx="0">
                        <c:v>New revenues under UF</c:v>
                      </c:pt>
                    </c:strCache>
                  </c:strRef>
                </c:tx>
                <c:spPr>
                  <a:solidFill>
                    <a:schemeClr val="accent5"/>
                  </a:solidFill>
                  <a:ln>
                    <a:solidFill>
                      <a:sysClr val="windowText" lastClr="000000"/>
                    </a:solidFill>
                    <a:prstDash val="dash"/>
                  </a:ln>
                  <a:effectLst/>
                </c:spPr>
                <c:invertIfNegative val="0"/>
                <c:cat>
                  <c:strRef>
                    <c:extLst>
                      <c:ext uri="{02D57815-91ED-43cb-92C2-25804820EDAC}">
                        <c15:formulaRef>
                          <c15:sqref>Output_4!$B$91:$E$91</c15:sqref>
                        </c15:formulaRef>
                      </c:ext>
                    </c:extLst>
                    <c:strCache>
                      <c:ptCount val="4"/>
                      <c:pt idx="0">
                        <c:v>GDP, 
state captures all savings</c:v>
                      </c:pt>
                      <c:pt idx="1">
                        <c:v>NHE-0.5%, 
state captures all savings</c:v>
                      </c:pt>
                      <c:pt idx="2">
                        <c:v>GDP, 
feds captures their savings</c:v>
                      </c:pt>
                      <c:pt idx="3">
                        <c:v>NHE-0.5%, 
feds captures their savings</c:v>
                      </c:pt>
                    </c:strCache>
                  </c:strRef>
                </c:cat>
                <c:val>
                  <c:numRef>
                    <c:extLst>
                      <c:ext uri="{02D57815-91ED-43cb-92C2-25804820EDAC}">
                        <c15:formulaRef>
                          <c15:sqref>Output_4!$B$96:$E$96</c15:sqref>
                        </c15:formulaRef>
                      </c:ext>
                    </c:extLst>
                    <c:numCache>
                      <c:formatCode>_("$"* #,##0_);_("$"* \(#,##0\);_("$"* "-"??_);_(@_)</c:formatCode>
                      <c:ptCount val="4"/>
                      <c:pt idx="0">
                        <c:v>241.88331456143629</c:v>
                      </c:pt>
                      <c:pt idx="1">
                        <c:v>241.88331456143629</c:v>
                      </c:pt>
                      <c:pt idx="2">
                        <c:v>241.88331456143629</c:v>
                      </c:pt>
                      <c:pt idx="3">
                        <c:v>241.88331456143629</c:v>
                      </c:pt>
                    </c:numCache>
                  </c:numRef>
                </c:val>
                <c:extLst>
                  <c:ext xmlns:c16="http://schemas.microsoft.com/office/drawing/2014/chart" uri="{C3380CC4-5D6E-409C-BE32-E72D297353CC}">
                    <c16:uniqueId val="{00000006-9406-41BA-B408-367BC35DE5B2}"/>
                  </c:ext>
                </c:extLst>
              </c15:ser>
            </c15:filteredBarSeries>
          </c:ext>
        </c:extLst>
      </c:barChart>
      <c:catAx>
        <c:axId val="132020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20199056"/>
        <c:crosses val="autoZero"/>
        <c:auto val="1"/>
        <c:lblAlgn val="ctr"/>
        <c:lblOffset val="100"/>
        <c:noMultiLvlLbl val="0"/>
      </c:catAx>
      <c:valAx>
        <c:axId val="1320199056"/>
        <c:scaling>
          <c:orientation val="minMax"/>
        </c:scaling>
        <c:delete val="1"/>
        <c:axPos val="l"/>
        <c:numFmt formatCode="_(&quot;$&quot;* #,##0_);_(&quot;$&quot;* \(#,##0\);_(&quot;$&quot;* &quot;-&quot;??_);_(@_)" sourceLinked="1"/>
        <c:majorTickMark val="out"/>
        <c:minorTickMark val="none"/>
        <c:tickLblPos val="nextTo"/>
        <c:crossAx val="1320201552"/>
        <c:crosses val="autoZero"/>
        <c:crossBetween val="between"/>
      </c:valAx>
      <c:spPr>
        <a:noFill/>
        <a:ln>
          <a:noFill/>
        </a:ln>
        <a:effectLst/>
      </c:spPr>
    </c:plotArea>
    <c:legend>
      <c:legendPos val="r"/>
      <c:layout>
        <c:manualLayout>
          <c:xMode val="edge"/>
          <c:yMode val="edge"/>
          <c:x val="0.71102413568166989"/>
          <c:y val="8.3447496543848032E-2"/>
          <c:w val="0.23939986953685582"/>
          <c:h val="0.8692461381258639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128586</xdr:colOff>
      <xdr:row>0</xdr:row>
      <xdr:rowOff>9524</xdr:rowOff>
    </xdr:from>
    <xdr:to>
      <xdr:col>15</xdr:col>
      <xdr:colOff>431800</xdr:colOff>
      <xdr:row>26</xdr:row>
      <xdr:rowOff>133349</xdr:rowOff>
    </xdr:to>
    <xdr:graphicFrame macro="">
      <xdr:nvGraphicFramePr>
        <xdr:cNvPr id="4" name="Chart 3" descr="This pie chart shows total California health expenditures in 2022 by payer source - federal, state and local, employer and household spending, other spending. It also shows how the employer and household spending breaks down between employer insurance premiums, workers comp, household job-based premiums, out-of-pocket spending, and all other household and employer spending.">
          <a:extLst>
            <a:ext uri="{FF2B5EF4-FFF2-40B4-BE49-F238E27FC236}">
              <a16:creationId xmlns:a16="http://schemas.microsoft.com/office/drawing/2014/main" id="{9BD13A44-5BD3-4789-A0DD-2C46AFF162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300036</xdr:colOff>
      <xdr:row>25</xdr:row>
      <xdr:rowOff>80962</xdr:rowOff>
    </xdr:from>
    <xdr:to>
      <xdr:col>14</xdr:col>
      <xdr:colOff>295275</xdr:colOff>
      <xdr:row>45</xdr:row>
      <xdr:rowOff>76200</xdr:rowOff>
    </xdr:to>
    <xdr:graphicFrame macro="">
      <xdr:nvGraphicFramePr>
        <xdr:cNvPr id="5" name="Chart 4" descr="This bar chart shows total California health expenditures under baseline in 2022 and 2031 including the breakdown by payer source - federal, state and local, employer and household, and other spending.">
          <a:extLst>
            <a:ext uri="{FF2B5EF4-FFF2-40B4-BE49-F238E27FC236}">
              <a16:creationId xmlns:a16="http://schemas.microsoft.com/office/drawing/2014/main" id="{16AC455C-97E5-4575-9DE6-905F6CB04C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57150</xdr:colOff>
      <xdr:row>44</xdr:row>
      <xdr:rowOff>187325</xdr:rowOff>
    </xdr:from>
    <xdr:to>
      <xdr:col>17</xdr:col>
      <xdr:colOff>47625</xdr:colOff>
      <xdr:row>65</xdr:row>
      <xdr:rowOff>152400</xdr:rowOff>
    </xdr:to>
    <xdr:graphicFrame macro="">
      <xdr:nvGraphicFramePr>
        <xdr:cNvPr id="7" name="Chart 6" descr="This bar chart shows total California health expenditures in 2022 under baseline compared to unified financing with no cost sharing and no LTSS expansion. The chart includes the breakdown by payer source.">
          <a:extLst>
            <a:ext uri="{FF2B5EF4-FFF2-40B4-BE49-F238E27FC236}">
              <a16:creationId xmlns:a16="http://schemas.microsoft.com/office/drawing/2014/main" id="{179AD7FF-1EC0-4E93-80A2-0C4C9A932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409575</xdr:colOff>
      <xdr:row>66</xdr:row>
      <xdr:rowOff>95250</xdr:rowOff>
    </xdr:from>
    <xdr:to>
      <xdr:col>22</xdr:col>
      <xdr:colOff>390525</xdr:colOff>
      <xdr:row>82</xdr:row>
      <xdr:rowOff>60325</xdr:rowOff>
    </xdr:to>
    <xdr:graphicFrame macro="">
      <xdr:nvGraphicFramePr>
        <xdr:cNvPr id="6" name="Chart 5" descr="This bar chart shows total California health expenditures in 2022 under baseline compared to under 4 different Unified Financing Scenarios. The chart includes the breakdown by payer source.">
          <a:extLst>
            <a:ext uri="{FF2B5EF4-FFF2-40B4-BE49-F238E27FC236}">
              <a16:creationId xmlns:a16="http://schemas.microsoft.com/office/drawing/2014/main" id="{03D7BC0F-E0C8-4134-880C-94315423A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90</xdr:row>
      <xdr:rowOff>0</xdr:rowOff>
    </xdr:from>
    <xdr:to>
      <xdr:col>21</xdr:col>
      <xdr:colOff>590550</xdr:colOff>
      <xdr:row>108</xdr:row>
      <xdr:rowOff>155575</xdr:rowOff>
    </xdr:to>
    <xdr:graphicFrame macro="">
      <xdr:nvGraphicFramePr>
        <xdr:cNvPr id="9" name="Chart 8" descr="This bar chart shows total California health expenditures in 2031 under 4 different Unified Financing scenarios which vary based on the assumed rate of spending growth between 2022 and 2031 and the extent to which the state captures savings from Unified Financing. The chart also shows how projected non-federal funds repurposed under Unified Financing compare to expenditures to be covered by non-federal funds repurposed under Unified Financing.">
          <a:extLst>
            <a:ext uri="{FF2B5EF4-FFF2-40B4-BE49-F238E27FC236}">
              <a16:creationId xmlns:a16="http://schemas.microsoft.com/office/drawing/2014/main" id="{E0AB437B-A600-473D-9C55-81DBC0C7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0.00306</cdr:x>
      <cdr:y>0.0084</cdr:y>
    </cdr:from>
    <cdr:to>
      <cdr:x>0.12049</cdr:x>
      <cdr:y>0.09874</cdr:y>
    </cdr:to>
    <cdr:sp macro="" textlink="">
      <cdr:nvSpPr>
        <cdr:cNvPr id="3" name="TextBox 2">
          <a:extLst xmlns:a="http://schemas.openxmlformats.org/drawingml/2006/main">
            <a:ext uri="{FF2B5EF4-FFF2-40B4-BE49-F238E27FC236}">
              <a16:creationId xmlns:a16="http://schemas.microsoft.com/office/drawing/2014/main" id="{5D154625-826E-4149-893C-0E7F0D73D0CE}"/>
            </a:ext>
          </a:extLst>
        </cdr:cNvPr>
        <cdr:cNvSpPr txBox="1"/>
      </cdr:nvSpPr>
      <cdr:spPr>
        <a:xfrm xmlns:a="http://schemas.openxmlformats.org/drawingml/2006/main">
          <a:off x="23814" y="38099"/>
          <a:ext cx="914400"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800">
              <a:latin typeface="Arial" panose="020B0604020202020204" pitchFamily="34" charset="0"/>
              <a:cs typeface="Arial" panose="020B0604020202020204" pitchFamily="34" charset="0"/>
            </a:rPr>
            <a:t>Total CA health expenditures,</a:t>
          </a:r>
          <a:r>
            <a:rPr lang="en-US" sz="1800" baseline="0">
              <a:latin typeface="Arial" panose="020B0604020202020204" pitchFamily="34" charset="0"/>
              <a:cs typeface="Arial" panose="020B0604020202020204" pitchFamily="34" charset="0"/>
            </a:rPr>
            <a:t> 2022</a:t>
          </a:r>
          <a:r>
            <a:rPr lang="en-US" sz="1800">
              <a:latin typeface="Arial" panose="020B0604020202020204" pitchFamily="34" charset="0"/>
              <a:cs typeface="Arial" panose="020B0604020202020204" pitchFamily="34" charset="0"/>
            </a:rPr>
            <a:t> = $517</a:t>
          </a:r>
          <a:r>
            <a:rPr lang="en-US" sz="1800" baseline="0">
              <a:latin typeface="Arial" panose="020B0604020202020204" pitchFamily="34" charset="0"/>
              <a:cs typeface="Arial" panose="020B0604020202020204" pitchFamily="34" charset="0"/>
            </a:rPr>
            <a:t> billion</a:t>
          </a:r>
          <a:endParaRPr lang="en-US" sz="1800">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0.11768</cdr:x>
      <cdr:y>0.26909</cdr:y>
    </cdr:from>
    <cdr:to>
      <cdr:x>0.23355</cdr:x>
      <cdr:y>0.50939</cdr:y>
    </cdr:to>
    <cdr:sp macro="" textlink="">
      <cdr:nvSpPr>
        <cdr:cNvPr id="2" name="TextBox 1">
          <a:extLst xmlns:a="http://schemas.openxmlformats.org/drawingml/2006/main">
            <a:ext uri="{FF2B5EF4-FFF2-40B4-BE49-F238E27FC236}">
              <a16:creationId xmlns:a16="http://schemas.microsoft.com/office/drawing/2014/main" id="{F4113139-AD82-4556-9278-B7AF60C5EFB0}"/>
            </a:ext>
          </a:extLst>
        </cdr:cNvPr>
        <cdr:cNvSpPr txBox="1"/>
      </cdr:nvSpPr>
      <cdr:spPr>
        <a:xfrm xmlns:a="http://schemas.openxmlformats.org/drawingml/2006/main">
          <a:off x="928689" y="10239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$517 billion</a:t>
          </a:r>
        </a:p>
      </cdr:txBody>
    </cdr:sp>
  </cdr:relSizeAnchor>
  <cdr:relSizeAnchor xmlns:cdr="http://schemas.openxmlformats.org/drawingml/2006/chartDrawing">
    <cdr:from>
      <cdr:x>0.41923</cdr:x>
      <cdr:y>0.09011</cdr:y>
    </cdr:from>
    <cdr:to>
      <cdr:x>0.6198</cdr:x>
      <cdr:y>0.2015</cdr:y>
    </cdr:to>
    <cdr:sp macro="" textlink="">
      <cdr:nvSpPr>
        <cdr:cNvPr id="3" name="TextBox 1">
          <a:extLst xmlns:a="http://schemas.openxmlformats.org/drawingml/2006/main">
            <a:ext uri="{FF2B5EF4-FFF2-40B4-BE49-F238E27FC236}">
              <a16:creationId xmlns:a16="http://schemas.microsoft.com/office/drawing/2014/main" id="{3F2ACB51-6C57-4B79-BD21-E68DBA126C5F}"/>
            </a:ext>
          </a:extLst>
        </cdr:cNvPr>
        <cdr:cNvSpPr txBox="1"/>
      </cdr:nvSpPr>
      <cdr:spPr>
        <a:xfrm xmlns:a="http://schemas.openxmlformats.org/drawingml/2006/main">
          <a:off x="3308350" y="342900"/>
          <a:ext cx="1582740" cy="4238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$675 billion (2022 $)</a:t>
          </a:r>
        </a:p>
      </cdr:txBody>
    </cdr:sp>
  </cdr:relSizeAnchor>
</c:userShapes>
</file>

<file path=xl/drawings/drawing4.xml><?xml version="1.0" encoding="utf-8"?>
<c:userShapes xmlns:c="http://schemas.openxmlformats.org/drawingml/2006/chart">
  <cdr:relSizeAnchor xmlns:cdr="http://schemas.openxmlformats.org/drawingml/2006/chartDrawing">
    <cdr:from>
      <cdr:x>0.40738</cdr:x>
      <cdr:y>0.05993</cdr:y>
    </cdr:from>
    <cdr:to>
      <cdr:x>0.52282</cdr:x>
      <cdr:y>0.11989</cdr:y>
    </cdr:to>
    <cdr:sp macro="" textlink="">
      <cdr:nvSpPr>
        <cdr:cNvPr id="2" name="TextBox 1">
          <a:extLst xmlns:a="http://schemas.openxmlformats.org/drawingml/2006/main">
            <a:ext uri="{FF2B5EF4-FFF2-40B4-BE49-F238E27FC236}">
              <a16:creationId xmlns:a16="http://schemas.microsoft.com/office/drawing/2014/main" id="{F4113139-AD82-4556-9278-B7AF60C5EFB0}"/>
            </a:ext>
          </a:extLst>
        </cdr:cNvPr>
        <cdr:cNvSpPr txBox="1"/>
      </cdr:nvSpPr>
      <cdr:spPr>
        <a:xfrm xmlns:a="http://schemas.openxmlformats.org/drawingml/2006/main">
          <a:off x="3224558" y="237664"/>
          <a:ext cx="913720" cy="237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$517 billion</a:t>
          </a:r>
        </a:p>
      </cdr:txBody>
    </cdr:sp>
  </cdr:relSizeAnchor>
  <cdr:relSizeAnchor xmlns:cdr="http://schemas.openxmlformats.org/drawingml/2006/chartDrawing">
    <cdr:from>
      <cdr:x>0.69586</cdr:x>
      <cdr:y>0.05898</cdr:y>
    </cdr:from>
    <cdr:to>
      <cdr:x>0.89643</cdr:x>
      <cdr:y>0.17037</cdr:y>
    </cdr:to>
    <cdr:sp macro="" textlink="">
      <cdr:nvSpPr>
        <cdr:cNvPr id="3" name="TextBox 1">
          <a:extLst xmlns:a="http://schemas.openxmlformats.org/drawingml/2006/main">
            <a:ext uri="{FF2B5EF4-FFF2-40B4-BE49-F238E27FC236}">
              <a16:creationId xmlns:a16="http://schemas.microsoft.com/office/drawing/2014/main" id="{3F2ACB51-6C57-4B79-BD21-E68DBA126C5F}"/>
            </a:ext>
          </a:extLst>
        </cdr:cNvPr>
        <cdr:cNvSpPr txBox="1"/>
      </cdr:nvSpPr>
      <cdr:spPr>
        <a:xfrm xmlns:a="http://schemas.openxmlformats.org/drawingml/2006/main">
          <a:off x="5507945" y="233902"/>
          <a:ext cx="1587566" cy="4417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$501 billion </a:t>
          </a:r>
        </a:p>
      </cdr:txBody>
    </cdr:sp>
  </cdr:relSizeAnchor>
</c:userShapes>
</file>

<file path=xl/drawings/drawing5.xml><?xml version="1.0" encoding="utf-8"?>
<c:userShapes xmlns:c="http://schemas.openxmlformats.org/drawingml/2006/chart">
  <cdr:relSizeAnchor xmlns:cdr="http://schemas.openxmlformats.org/drawingml/2006/chartDrawing">
    <cdr:from>
      <cdr:x>0.05496</cdr:x>
      <cdr:y>0.0554</cdr:y>
    </cdr:from>
    <cdr:to>
      <cdr:x>0.1704</cdr:x>
      <cdr:y>0.11536</cdr:y>
    </cdr:to>
    <cdr:sp macro="" textlink="">
      <cdr:nvSpPr>
        <cdr:cNvPr id="2" name="TextBox 1">
          <a:extLst xmlns:a="http://schemas.openxmlformats.org/drawingml/2006/main">
            <a:ext uri="{FF2B5EF4-FFF2-40B4-BE49-F238E27FC236}">
              <a16:creationId xmlns:a16="http://schemas.microsoft.com/office/drawing/2014/main" id="{F4113139-AD82-4556-9278-B7AF60C5EFB0}"/>
            </a:ext>
          </a:extLst>
        </cdr:cNvPr>
        <cdr:cNvSpPr txBox="1"/>
      </cdr:nvSpPr>
      <cdr:spPr>
        <a:xfrm xmlns:a="http://schemas.openxmlformats.org/drawingml/2006/main">
          <a:off x="535009" y="230228"/>
          <a:ext cx="1123757" cy="2491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$517 billion</a:t>
          </a:r>
        </a:p>
      </cdr:txBody>
    </cdr:sp>
  </cdr:relSizeAnchor>
  <cdr:relSizeAnchor xmlns:cdr="http://schemas.openxmlformats.org/drawingml/2006/chartDrawing">
    <cdr:from>
      <cdr:x>0.33903</cdr:x>
      <cdr:y>0.08071</cdr:y>
    </cdr:from>
    <cdr:to>
      <cdr:x>0.46478</cdr:x>
      <cdr:y>0.19209</cdr:y>
    </cdr:to>
    <cdr:sp macro="" textlink="">
      <cdr:nvSpPr>
        <cdr:cNvPr id="3" name="TextBox 1">
          <a:extLst xmlns:a="http://schemas.openxmlformats.org/drawingml/2006/main">
            <a:ext uri="{FF2B5EF4-FFF2-40B4-BE49-F238E27FC236}">
              <a16:creationId xmlns:a16="http://schemas.microsoft.com/office/drawing/2014/main" id="{3F2ACB51-6C57-4B79-BD21-E68DBA126C5F}"/>
            </a:ext>
          </a:extLst>
        </cdr:cNvPr>
        <cdr:cNvSpPr txBox="1"/>
      </cdr:nvSpPr>
      <cdr:spPr>
        <a:xfrm xmlns:a="http://schemas.openxmlformats.org/drawingml/2006/main">
          <a:off x="3300306" y="335444"/>
          <a:ext cx="1224120" cy="462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$501 billion</a:t>
          </a:r>
        </a:p>
      </cdr:txBody>
    </cdr:sp>
  </cdr:relSizeAnchor>
  <cdr:relSizeAnchor xmlns:cdr="http://schemas.openxmlformats.org/drawingml/2006/chartDrawing">
    <cdr:from>
      <cdr:x>0.19211</cdr:x>
      <cdr:y>0.10325</cdr:y>
    </cdr:from>
    <cdr:to>
      <cdr:x>0.31787</cdr:x>
      <cdr:y>0.21464</cdr:y>
    </cdr:to>
    <cdr:sp macro="" textlink="">
      <cdr:nvSpPr>
        <cdr:cNvPr id="4" name="TextBox 1">
          <a:extLst xmlns:a="http://schemas.openxmlformats.org/drawingml/2006/main">
            <a:ext uri="{FF2B5EF4-FFF2-40B4-BE49-F238E27FC236}">
              <a16:creationId xmlns:a16="http://schemas.microsoft.com/office/drawing/2014/main" id="{E3CF0A67-180C-450A-B420-BB7C33B2E7D7}"/>
            </a:ext>
          </a:extLst>
        </cdr:cNvPr>
        <cdr:cNvSpPr txBox="1"/>
      </cdr:nvSpPr>
      <cdr:spPr>
        <a:xfrm xmlns:a="http://schemas.openxmlformats.org/drawingml/2006/main">
          <a:off x="1870065" y="429107"/>
          <a:ext cx="1224217" cy="4629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$482 billion</a:t>
          </a:r>
        </a:p>
      </cdr:txBody>
    </cdr:sp>
  </cdr:relSizeAnchor>
  <cdr:relSizeAnchor xmlns:cdr="http://schemas.openxmlformats.org/drawingml/2006/chartDrawing">
    <cdr:from>
      <cdr:x>0.62068</cdr:x>
      <cdr:y>0.0511</cdr:y>
    </cdr:from>
    <cdr:to>
      <cdr:x>0.74643</cdr:x>
      <cdr:y>0.16249</cdr:y>
    </cdr:to>
    <cdr:sp macro="" textlink="">
      <cdr:nvSpPr>
        <cdr:cNvPr id="5" name="TextBox 1">
          <a:extLst xmlns:a="http://schemas.openxmlformats.org/drawingml/2006/main">
            <a:ext uri="{FF2B5EF4-FFF2-40B4-BE49-F238E27FC236}">
              <a16:creationId xmlns:a16="http://schemas.microsoft.com/office/drawing/2014/main" id="{9A9A5B41-8919-4082-B4B5-B69300FE881A}"/>
            </a:ext>
          </a:extLst>
        </cdr:cNvPr>
        <cdr:cNvSpPr txBox="1"/>
      </cdr:nvSpPr>
      <cdr:spPr>
        <a:xfrm xmlns:a="http://schemas.openxmlformats.org/drawingml/2006/main">
          <a:off x="6042019" y="212368"/>
          <a:ext cx="1224120" cy="4629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$527 billion</a:t>
          </a:r>
        </a:p>
      </cdr:txBody>
    </cdr:sp>
  </cdr:relSizeAnchor>
  <cdr:relSizeAnchor xmlns:cdr="http://schemas.openxmlformats.org/drawingml/2006/chartDrawing">
    <cdr:from>
      <cdr:x>0.27398</cdr:x>
      <cdr:y>0.45959</cdr:y>
    </cdr:from>
    <cdr:to>
      <cdr:x>0.35127</cdr:x>
      <cdr:y>0.59817</cdr:y>
    </cdr:to>
    <cdr:sp macro="" textlink="">
      <cdr:nvSpPr>
        <cdr:cNvPr id="6" name="TextBox 5">
          <a:extLst xmlns:a="http://schemas.openxmlformats.org/drawingml/2006/main">
            <a:ext uri="{FF2B5EF4-FFF2-40B4-BE49-F238E27FC236}">
              <a16:creationId xmlns:a16="http://schemas.microsoft.com/office/drawing/2014/main" id="{A3C3D110-AE10-4511-8B16-CD2B089CE3D6}"/>
            </a:ext>
          </a:extLst>
        </cdr:cNvPr>
        <cdr:cNvSpPr txBox="1"/>
      </cdr:nvSpPr>
      <cdr:spPr>
        <a:xfrm xmlns:a="http://schemas.openxmlformats.org/drawingml/2006/main">
          <a:off x="2667026" y="1910105"/>
          <a:ext cx="752449" cy="575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(cost </a:t>
          </a:r>
        </a:p>
        <a:p xmlns:a="http://schemas.openxmlformats.org/drawingml/2006/main">
          <a:r>
            <a:rPr lang="en-US" sz="1400">
              <a:latin typeface="Arial" panose="020B0604020202020204" pitchFamily="34" charset="0"/>
              <a:cs typeface="Arial" panose="020B0604020202020204" pitchFamily="34" charset="0"/>
            </a:rPr>
            <a:t>sharing)</a:t>
          </a:r>
        </a:p>
      </cdr:txBody>
    </cdr:sp>
  </cdr:relSizeAnchor>
  <cdr:relSizeAnchor xmlns:cdr="http://schemas.openxmlformats.org/drawingml/2006/chartDrawing">
    <cdr:from>
      <cdr:x>0.47782</cdr:x>
      <cdr:y>0.06979</cdr:y>
    </cdr:from>
    <cdr:to>
      <cdr:x>0.60357</cdr:x>
      <cdr:y>0.18118</cdr:y>
    </cdr:to>
    <cdr:sp macro="" textlink="">
      <cdr:nvSpPr>
        <cdr:cNvPr id="7" name="TextBox 1">
          <a:extLst xmlns:a="http://schemas.openxmlformats.org/drawingml/2006/main">
            <a:ext uri="{FF2B5EF4-FFF2-40B4-BE49-F238E27FC236}">
              <a16:creationId xmlns:a16="http://schemas.microsoft.com/office/drawing/2014/main" id="{18BF5A8B-4CC9-4B3B-9C8A-A4653C3E7491}"/>
            </a:ext>
          </a:extLst>
        </cdr:cNvPr>
        <cdr:cNvSpPr txBox="1"/>
      </cdr:nvSpPr>
      <cdr:spPr>
        <a:xfrm xmlns:a="http://schemas.openxmlformats.org/drawingml/2006/main">
          <a:off x="4651361" y="290045"/>
          <a:ext cx="1224119" cy="4629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$508 billion</a:t>
          </a:r>
        </a:p>
      </cdr:txBody>
    </cdr:sp>
  </cdr:relSizeAnchor>
</c:userShapes>
</file>

<file path=xl/drawings/drawing6.xml><?xml version="1.0" encoding="utf-8"?>
<c:userShapes xmlns:c="http://schemas.openxmlformats.org/drawingml/2006/chart">
  <cdr:relSizeAnchor xmlns:cdr="http://schemas.openxmlformats.org/drawingml/2006/chartDrawing">
    <cdr:from>
      <cdr:x>0.26827</cdr:x>
      <cdr:y>0.04381</cdr:y>
    </cdr:from>
    <cdr:to>
      <cdr:x>0.38371</cdr:x>
      <cdr:y>0.10377</cdr:y>
    </cdr:to>
    <cdr:sp macro="" textlink="">
      <cdr:nvSpPr>
        <cdr:cNvPr id="2" name="TextBox 1">
          <a:extLst xmlns:a="http://schemas.openxmlformats.org/drawingml/2006/main">
            <a:ext uri="{FF2B5EF4-FFF2-40B4-BE49-F238E27FC236}">
              <a16:creationId xmlns:a16="http://schemas.microsoft.com/office/drawing/2014/main" id="{F4113139-AD82-4556-9278-B7AF60C5EFB0}"/>
            </a:ext>
          </a:extLst>
        </cdr:cNvPr>
        <cdr:cNvSpPr txBox="1"/>
      </cdr:nvSpPr>
      <cdr:spPr>
        <a:xfrm xmlns:a="http://schemas.openxmlformats.org/drawingml/2006/main">
          <a:off x="2611447" y="190441"/>
          <a:ext cx="1123756" cy="2606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$624 billion</a:t>
          </a:r>
        </a:p>
      </cdr:txBody>
    </cdr:sp>
  </cdr:relSizeAnchor>
  <cdr:relSizeAnchor xmlns:cdr="http://schemas.openxmlformats.org/drawingml/2006/chartDrawing">
    <cdr:from>
      <cdr:x>0.57679</cdr:x>
      <cdr:y>0.04628</cdr:y>
    </cdr:from>
    <cdr:to>
      <cdr:x>0.70254</cdr:x>
      <cdr:y>0.15767</cdr:y>
    </cdr:to>
    <cdr:sp macro="" textlink="">
      <cdr:nvSpPr>
        <cdr:cNvPr id="3" name="TextBox 1">
          <a:extLst xmlns:a="http://schemas.openxmlformats.org/drawingml/2006/main">
            <a:ext uri="{FF2B5EF4-FFF2-40B4-BE49-F238E27FC236}">
              <a16:creationId xmlns:a16="http://schemas.microsoft.com/office/drawing/2014/main" id="{3F2ACB51-6C57-4B79-BD21-E68DBA126C5F}"/>
            </a:ext>
          </a:extLst>
        </cdr:cNvPr>
        <cdr:cNvSpPr txBox="1"/>
      </cdr:nvSpPr>
      <cdr:spPr>
        <a:xfrm xmlns:a="http://schemas.openxmlformats.org/drawingml/2006/main">
          <a:off x="5614813" y="201159"/>
          <a:ext cx="1224119" cy="4841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$624 billion</a:t>
          </a:r>
        </a:p>
      </cdr:txBody>
    </cdr:sp>
  </cdr:relSizeAnchor>
  <cdr:relSizeAnchor xmlns:cdr="http://schemas.openxmlformats.org/drawingml/2006/chartDrawing">
    <cdr:from>
      <cdr:x>0.11187</cdr:x>
      <cdr:y>0.07852</cdr:y>
    </cdr:from>
    <cdr:to>
      <cdr:x>0.23763</cdr:x>
      <cdr:y>0.18991</cdr:y>
    </cdr:to>
    <cdr:sp macro="" textlink="">
      <cdr:nvSpPr>
        <cdr:cNvPr id="4" name="TextBox 1">
          <a:extLst xmlns:a="http://schemas.openxmlformats.org/drawingml/2006/main">
            <a:ext uri="{FF2B5EF4-FFF2-40B4-BE49-F238E27FC236}">
              <a16:creationId xmlns:a16="http://schemas.microsoft.com/office/drawing/2014/main" id="{E3CF0A67-180C-450A-B420-BB7C33B2E7D7}"/>
            </a:ext>
          </a:extLst>
        </cdr:cNvPr>
        <cdr:cNvSpPr txBox="1"/>
      </cdr:nvSpPr>
      <cdr:spPr>
        <a:xfrm xmlns:a="http://schemas.openxmlformats.org/drawingml/2006/main">
          <a:off x="1088989" y="341287"/>
          <a:ext cx="1224217" cy="4841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$587 billion</a:t>
          </a:r>
        </a:p>
      </cdr:txBody>
    </cdr:sp>
  </cdr:relSizeAnchor>
  <cdr:relSizeAnchor xmlns:cdr="http://schemas.openxmlformats.org/drawingml/2006/chartDrawing">
    <cdr:from>
      <cdr:x>0.42401</cdr:x>
      <cdr:y>0.07528</cdr:y>
    </cdr:from>
    <cdr:to>
      <cdr:x>0.54976</cdr:x>
      <cdr:y>0.18667</cdr:y>
    </cdr:to>
    <cdr:sp macro="" textlink="">
      <cdr:nvSpPr>
        <cdr:cNvPr id="5" name="TextBox 1">
          <a:extLst xmlns:a="http://schemas.openxmlformats.org/drawingml/2006/main">
            <a:ext uri="{FF2B5EF4-FFF2-40B4-BE49-F238E27FC236}">
              <a16:creationId xmlns:a16="http://schemas.microsoft.com/office/drawing/2014/main" id="{9A9A5B41-8919-4082-B4B5-B69300FE881A}"/>
            </a:ext>
          </a:extLst>
        </cdr:cNvPr>
        <cdr:cNvSpPr txBox="1"/>
      </cdr:nvSpPr>
      <cdr:spPr>
        <a:xfrm xmlns:a="http://schemas.openxmlformats.org/drawingml/2006/main">
          <a:off x="4127513" y="327210"/>
          <a:ext cx="1224120" cy="4841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Arial" panose="020B0604020202020204" pitchFamily="34" charset="0"/>
              <a:cs typeface="Arial" panose="020B0604020202020204" pitchFamily="34" charset="0"/>
            </a:rPr>
            <a:t>$587 billion</a:t>
          </a:r>
        </a:p>
      </cdr:txBody>
    </cdr:sp>
  </cdr:relSizeAnchor>
  <cdr:relSizeAnchor xmlns:cdr="http://schemas.openxmlformats.org/drawingml/2006/chartDrawing">
    <cdr:from>
      <cdr:x>0.00065</cdr:x>
      <cdr:y>0.31737</cdr:y>
    </cdr:from>
    <cdr:to>
      <cdr:x>0.13666</cdr:x>
      <cdr:y>0.63379</cdr:y>
    </cdr:to>
    <cdr:sp macro="" textlink="">
      <cdr:nvSpPr>
        <cdr:cNvPr id="11" name="TextBox 10">
          <a:extLst xmlns:a="http://schemas.openxmlformats.org/drawingml/2006/main">
            <a:ext uri="{FF2B5EF4-FFF2-40B4-BE49-F238E27FC236}">
              <a16:creationId xmlns:a16="http://schemas.microsoft.com/office/drawing/2014/main" id="{64E78FDB-E27D-48C4-82AE-CDC830F655AE}"/>
            </a:ext>
          </a:extLst>
        </cdr:cNvPr>
        <cdr:cNvSpPr txBox="1"/>
      </cdr:nvSpPr>
      <cdr:spPr>
        <a:xfrm xmlns:a="http://schemas.openxmlformats.org/drawingml/2006/main">
          <a:off x="6350" y="1335142"/>
          <a:ext cx="1323996" cy="1331134"/>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pPr algn="ctr"/>
          <a:r>
            <a:rPr lang="en-US" sz="1400">
              <a:latin typeface="Arial" panose="020B0604020202020204" pitchFamily="34" charset="0"/>
              <a:cs typeface="Arial" panose="020B0604020202020204" pitchFamily="34" charset="0"/>
            </a:rPr>
            <a:t>Projected</a:t>
          </a:r>
          <a:r>
            <a:rPr lang="en-US" sz="1400" baseline="0">
              <a:latin typeface="Arial" panose="020B0604020202020204" pitchFamily="34" charset="0"/>
              <a:cs typeface="Arial" panose="020B0604020202020204" pitchFamily="34" charset="0"/>
            </a:rPr>
            <a:t> non-federal funds repurposed under UF $242 billion</a:t>
          </a:r>
          <a:endParaRPr 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0.13992</cdr:x>
      <cdr:y>0.4821</cdr:y>
    </cdr:from>
    <cdr:to>
      <cdr:x>0.67026</cdr:x>
      <cdr:y>0.4821</cdr:y>
    </cdr:to>
    <cdr:cxnSp macro="">
      <cdr:nvCxnSpPr>
        <cdr:cNvPr id="7" name="Straight Connector 6">
          <a:extLst xmlns:a="http://schemas.openxmlformats.org/drawingml/2006/main">
            <a:ext uri="{FF2B5EF4-FFF2-40B4-BE49-F238E27FC236}">
              <a16:creationId xmlns:a16="http://schemas.microsoft.com/office/drawing/2014/main" id="{5AFD3948-A4BD-4B43-A1E7-FFDBE517CE74}"/>
            </a:ext>
            <a:ext uri="{C183D7F6-B498-43B3-948B-1728B52AA6E4}">
              <adec:decorative xmlns:adec="http://schemas.microsoft.com/office/drawing/2017/decorative" val="1"/>
            </a:ext>
          </a:extLst>
        </cdr:cNvPr>
        <cdr:cNvCxnSpPr/>
      </cdr:nvCxnSpPr>
      <cdr:spPr>
        <a:xfrm xmlns:a="http://schemas.openxmlformats.org/drawingml/2006/main">
          <a:off x="1362029" y="2095478"/>
          <a:ext cx="5162621" cy="0"/>
        </a:xfrm>
        <a:prstGeom xmlns:a="http://schemas.openxmlformats.org/drawingml/2006/main" prst="line">
          <a:avLst/>
        </a:prstGeom>
        <a:ln xmlns:a="http://schemas.openxmlformats.org/drawingml/2006/main">
          <a:prstDash val="dash"/>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R%20CAFOR1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entral%20Office\EST\COMMON\SUBVENTION%20FILES\May%202015\Tables\DO%20NOT%20USE-%20Table%20Coordinators%20Only\BCP%20Upload%20Template%20Blan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HXwpfs01\data1\WORK\CALOMC\Project\Two%20Plan%20Rates\08-09%20Rates\Rate%20Dev\Current\To%20DHCS%20032308\Copy%20of%2005newphpcohsUP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ial%20Management%20Section/CAPUnit/ratefiles/15/Dental/HIPF%202015%20Fee%20Year/FAM%20110/Enrollents_CFs_Del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dss\Documents%20and%20Settings\tnguyen1\Local%20Settings\Temporary%20Internet%20Files\OLK2E\5-06TribalTAN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SSFPS05\rad\Users\sshinpau\1SHARON%20-%20PERSONAL\01%20WHAT%20WAS%20SSHINPAU\EXCEL%20DOCS\FUTURE%20296\zDFA296%20Workbook%20FY05-06%20u12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ss\Documents%20and%20Settings\atham\Local%20Settings\Temporary%20Internet%20Files\OLK18C\296%2005-06%20Rme0305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nancial%20Management%20Section/CAPUnit/ratefiles/15/Dental/HIPF%202015%20Fee%20Year/HIPF%20Calculation_CY15_DM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lopez7\AppData\Local\Microsoft\Windows\Temporary%20Internet%20Files\Content.Outlook\J1FYRW87\HIPF%20Calculation_CY15_Delt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f\Users\filmierc\AppData\Local\Microsoft\Windows\Temporary%20Internet%20Files\Content.Outlook\HXV4KTA6\3GFU12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ercer.com\us_data\WORK\CALOMC\Project\GMC%20Rates\12-13%20Rates\Rate%20Dev\2012.03.15%20-%20Initial%20Budget%20Rates\SFY2013%20GMC%20Display%20Model_v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dssfps09\ppp\WINDOWS\DESKTOP\CW115%20model%20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ORK\CALOMC\Project\Expansion%20Rates\11-12%20Rates\Rate%20Model\10.01.2011%20-%2009.30.211%20-%20Expansion%20rates%20with%20RAR\COHS%20Rates\08-09%20Rates\Rate%20Dev\031008%20Version%20Fixed%20Admin\Copy%20of%2005newphpcohsU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Budget%20Dev%20(Fall)\2017-18\5180%20DSS\Dept-Specific%20Drills\GFU%20%234%205180-101-ECP-2017-GB%20(BR_91)%20Misc%20LA%20Caseloand-Drive%20Adjustments%2012-6-16.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dss\cbaldwin\Local%20Settings\Temporary%20Internet%20Files\OLK123\LIC181ElectronicRev%2012-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Budget%20Dev%20(Fall)\2017-18\5180%20DSS\Dept-Specific%20Drills\5180-201-ECP-2017-GB%20(BR-91)%20DOF%202.1%20-%20SV.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vignala\Desktop\Estimates%20Upload%20Template%20BLANK%20(September%2024th).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HSG\national\State%20Estimates\Residence\Migration%201991-2009\Web\Tables\Health%20expenditures%20by%20state%20of%20residence.%20Summary%20Tables.%201991-200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UBLIC\Proj18\WEB\DRAFT\Table03-15%20-%20Rou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s"/>
      <sheetName val="Annuals"/>
    </sheetNames>
    <sheetDataSet>
      <sheetData sheetId="0" refreshError="1">
        <row r="1">
          <cell r="F1">
            <v>1996</v>
          </cell>
          <cell r="J1">
            <v>1997</v>
          </cell>
          <cell r="N1">
            <v>1998</v>
          </cell>
          <cell r="R1">
            <v>1999</v>
          </cell>
          <cell r="V1">
            <v>2000</v>
          </cell>
          <cell r="Z1">
            <v>2001</v>
          </cell>
        </row>
        <row r="2">
          <cell r="F2" t="str">
            <v>I</v>
          </cell>
          <cell r="G2" t="str">
            <v>II</v>
          </cell>
          <cell r="H2" t="str">
            <v>III</v>
          </cell>
          <cell r="I2" t="str">
            <v>IV</v>
          </cell>
          <cell r="J2" t="str">
            <v>I</v>
          </cell>
          <cell r="K2" t="str">
            <v>II</v>
          </cell>
          <cell r="L2" t="str">
            <v>III</v>
          </cell>
          <cell r="M2" t="str">
            <v>IV</v>
          </cell>
          <cell r="N2" t="str">
            <v>I</v>
          </cell>
          <cell r="O2" t="str">
            <v>II</v>
          </cell>
          <cell r="P2" t="str">
            <v>III</v>
          </cell>
          <cell r="Q2" t="str">
            <v>IV</v>
          </cell>
          <cell r="R2" t="str">
            <v>I</v>
          </cell>
          <cell r="S2" t="str">
            <v>II</v>
          </cell>
          <cell r="T2" t="str">
            <v>III</v>
          </cell>
          <cell r="U2" t="str">
            <v>IV</v>
          </cell>
          <cell r="V2" t="str">
            <v>I</v>
          </cell>
          <cell r="W2" t="str">
            <v>II</v>
          </cell>
          <cell r="X2" t="str">
            <v>III</v>
          </cell>
          <cell r="Y2" t="str">
            <v>IV</v>
          </cell>
          <cell r="Z2" t="str">
            <v>I</v>
          </cell>
          <cell r="AA2" t="str">
            <v>II</v>
          </cell>
          <cell r="AB2" t="str">
            <v>III</v>
          </cell>
          <cell r="AC2" t="str">
            <v>IV</v>
          </cell>
        </row>
        <row r="3">
          <cell r="F3">
            <v>15282.366666666667</v>
          </cell>
          <cell r="G3">
            <v>15301.033333333333</v>
          </cell>
          <cell r="H3">
            <v>15390.066666666668</v>
          </cell>
          <cell r="I3">
            <v>15507.466666666667</v>
          </cell>
          <cell r="J3">
            <v>15615.033333333335</v>
          </cell>
          <cell r="K3">
            <v>15735.166666666666</v>
          </cell>
          <cell r="L3">
            <v>15849.5</v>
          </cell>
          <cell r="M3">
            <v>15942.166666666666</v>
          </cell>
          <cell r="N3">
            <v>16045.433333333334</v>
          </cell>
          <cell r="O3">
            <v>16103.3</v>
          </cell>
          <cell r="P3">
            <v>16187.833333333334</v>
          </cell>
          <cell r="Q3">
            <v>16214.3</v>
          </cell>
          <cell r="R3">
            <v>16239.7</v>
          </cell>
          <cell r="S3">
            <v>16314.266666666668</v>
          </cell>
          <cell r="T3">
            <v>16413.066666666669</v>
          </cell>
          <cell r="U3">
            <v>16534.633333333335</v>
          </cell>
          <cell r="V3">
            <v>16684.633333333335</v>
          </cell>
          <cell r="W3">
            <v>16865.066666666666</v>
          </cell>
          <cell r="X3">
            <v>16971.599999999999</v>
          </cell>
          <cell r="Y3">
            <v>17046.633333333335</v>
          </cell>
          <cell r="Z3">
            <v>17094.3</v>
          </cell>
          <cell r="AA3">
            <v>17146.466666666664</v>
          </cell>
          <cell r="AB3">
            <v>17179.966666666667</v>
          </cell>
          <cell r="AC3">
            <v>17265.900000000001</v>
          </cell>
        </row>
        <row r="4">
          <cell r="F4">
            <v>14120.906800000001</v>
          </cell>
          <cell r="G4">
            <v>14178.957555555555</v>
          </cell>
          <cell r="H4">
            <v>14297.371933333334</v>
          </cell>
          <cell r="I4">
            <v>14442.620622222223</v>
          </cell>
          <cell r="J4">
            <v>14589.646144444445</v>
          </cell>
          <cell r="K4">
            <v>14738.60611111111</v>
          </cell>
          <cell r="L4">
            <v>14866.831</v>
          </cell>
          <cell r="M4">
            <v>14964.380444444443</v>
          </cell>
          <cell r="N4">
            <v>15072.010377777779</v>
          </cell>
          <cell r="O4">
            <v>15142.469766666667</v>
          </cell>
          <cell r="P4">
            <v>15232.751166666667</v>
          </cell>
          <cell r="Q4">
            <v>15273.870600000002</v>
          </cell>
          <cell r="R4">
            <v>15335.690033333336</v>
          </cell>
          <cell r="S4">
            <v>15449.610533333334</v>
          </cell>
          <cell r="T4">
            <v>15586.942311111114</v>
          </cell>
          <cell r="U4">
            <v>15713.413211111112</v>
          </cell>
          <cell r="V4">
            <v>15850.401666666668</v>
          </cell>
          <cell r="W4">
            <v>16010.569955555555</v>
          </cell>
          <cell r="X4">
            <v>16128.677200000002</v>
          </cell>
          <cell r="Y4">
            <v>16234.077144444445</v>
          </cell>
          <cell r="Z4">
            <v>16290.867900000003</v>
          </cell>
          <cell r="AA4">
            <v>16277.712355555552</v>
          </cell>
          <cell r="AB4">
            <v>16229.341844444445</v>
          </cell>
          <cell r="AC4">
            <v>16201.169499999998</v>
          </cell>
        </row>
        <row r="5">
          <cell r="F5">
            <v>1161.4598666666668</v>
          </cell>
          <cell r="G5">
            <v>1122.0757777777778</v>
          </cell>
          <cell r="H5">
            <v>1092.6947333333335</v>
          </cell>
          <cell r="I5">
            <v>1064.8460444444445</v>
          </cell>
          <cell r="J5">
            <v>1025.3871888888891</v>
          </cell>
          <cell r="K5">
            <v>996.56055555555542</v>
          </cell>
          <cell r="L5">
            <v>982.66899999999998</v>
          </cell>
          <cell r="M5">
            <v>977.78622222222225</v>
          </cell>
          <cell r="N5">
            <v>973.42295555555575</v>
          </cell>
          <cell r="O5">
            <v>960.83023333333324</v>
          </cell>
          <cell r="P5">
            <v>955.08216666666692</v>
          </cell>
          <cell r="Q5">
            <v>940.42939999999999</v>
          </cell>
          <cell r="R5">
            <v>904.00996666666686</v>
          </cell>
          <cell r="S5">
            <v>864.6561333333334</v>
          </cell>
          <cell r="T5">
            <v>826.12435555555578</v>
          </cell>
          <cell r="U5">
            <v>821.22012222222224</v>
          </cell>
          <cell r="V5">
            <v>834.2316666666668</v>
          </cell>
          <cell r="W5">
            <v>854.49671111111115</v>
          </cell>
          <cell r="X5">
            <v>842.92280000000005</v>
          </cell>
          <cell r="Y5">
            <v>812.55618888888887</v>
          </cell>
          <cell r="Z5">
            <v>803.4321000000001</v>
          </cell>
          <cell r="AA5">
            <v>868.75431111111095</v>
          </cell>
          <cell r="AB5">
            <v>950.62482222222229</v>
          </cell>
          <cell r="AC5">
            <v>1064.7304999999999</v>
          </cell>
        </row>
        <row r="6">
          <cell r="F6">
            <v>7.6000000000000012E-2</v>
          </cell>
          <cell r="G6">
            <v>7.3333333333333334E-2</v>
          </cell>
          <cell r="H6">
            <v>7.1000000000000008E-2</v>
          </cell>
          <cell r="I6">
            <v>6.8666666666666668E-2</v>
          </cell>
          <cell r="J6">
            <v>6.5666666666666679E-2</v>
          </cell>
          <cell r="K6">
            <v>6.3333333333333325E-2</v>
          </cell>
          <cell r="L6">
            <v>6.2E-2</v>
          </cell>
          <cell r="M6">
            <v>6.1333333333333337E-2</v>
          </cell>
          <cell r="N6">
            <v>6.0666666666666674E-2</v>
          </cell>
          <cell r="O6">
            <v>5.966666666666666E-2</v>
          </cell>
          <cell r="P6">
            <v>5.9000000000000011E-2</v>
          </cell>
          <cell r="Q6">
            <v>5.7999999999999996E-2</v>
          </cell>
          <cell r="R6">
            <v>5.566666666666667E-2</v>
          </cell>
          <cell r="S6">
            <v>5.2999999999999999E-2</v>
          </cell>
          <cell r="T6">
            <v>5.0333333333333341E-2</v>
          </cell>
          <cell r="U6">
            <v>4.9666666666666665E-2</v>
          </cell>
          <cell r="V6">
            <v>0.05</v>
          </cell>
          <cell r="W6">
            <v>5.0666666666666672E-2</v>
          </cell>
          <cell r="X6">
            <v>4.9666666666666665E-2</v>
          </cell>
          <cell r="Y6">
            <v>4.7666666666666663E-2</v>
          </cell>
          <cell r="Z6">
            <v>4.7E-2</v>
          </cell>
          <cell r="AA6">
            <v>5.0666666666666665E-2</v>
          </cell>
          <cell r="AB6">
            <v>5.5333333333333339E-2</v>
          </cell>
          <cell r="AC6">
            <v>6.1666666666666668E-2</v>
          </cell>
        </row>
        <row r="7">
          <cell r="F7">
            <v>12634.71837250868</v>
          </cell>
          <cell r="G7">
            <v>12691.530378697094</v>
          </cell>
          <cell r="H7">
            <v>12767.83181315969</v>
          </cell>
          <cell r="I7">
            <v>12879.181668682666</v>
          </cell>
          <cell r="J7">
            <v>12958.300568973413</v>
          </cell>
          <cell r="K7">
            <v>13098.253484568371</v>
          </cell>
          <cell r="L7">
            <v>13180.799888292942</v>
          </cell>
          <cell r="M7">
            <v>13278.376628753575</v>
          </cell>
          <cell r="N7">
            <v>13422.721511783853</v>
          </cell>
          <cell r="O7">
            <v>13532.252235355598</v>
          </cell>
          <cell r="P7">
            <v>13665.088266079558</v>
          </cell>
          <cell r="Q7">
            <v>13760.985048477096</v>
          </cell>
          <cell r="R7">
            <v>13813.093167566072</v>
          </cell>
          <cell r="S7">
            <v>13922.412867187373</v>
          </cell>
          <cell r="T7">
            <v>14056.103485609048</v>
          </cell>
          <cell r="U7">
            <v>14173.207617841163</v>
          </cell>
          <cell r="V7">
            <v>14293.224541968735</v>
          </cell>
          <cell r="W7">
            <v>14442.714300784706</v>
          </cell>
          <cell r="X7">
            <v>14565.715332949381</v>
          </cell>
          <cell r="Y7">
            <v>14650.349977376622</v>
          </cell>
          <cell r="Z7">
            <v>14728.434623914012</v>
          </cell>
          <cell r="AA7">
            <v>14655.815521620425</v>
          </cell>
          <cell r="AB7">
            <v>14561.833542346496</v>
          </cell>
          <cell r="AC7">
            <v>14466.679238482533</v>
          </cell>
        </row>
        <row r="8">
          <cell r="J8">
            <v>2.5610558694272312E-2</v>
          </cell>
          <cell r="K8">
            <v>3.2046813405101071E-2</v>
          </cell>
          <cell r="L8">
            <v>3.2344416904646955E-2</v>
          </cell>
          <cell r="M8">
            <v>3.0995366812908598E-2</v>
          </cell>
          <cell r="N8">
            <v>3.5839648906001109E-2</v>
          </cell>
          <cell r="O8">
            <v>3.3134093129174813E-2</v>
          </cell>
          <cell r="P8">
            <v>3.674195662561841E-2</v>
          </cell>
          <cell r="Q8">
            <v>3.6345438393309282E-2</v>
          </cell>
          <cell r="R8">
            <v>2.9082899130367101E-2</v>
          </cell>
          <cell r="S8">
            <v>2.8831906547855057E-2</v>
          </cell>
          <cell r="T8">
            <v>2.8614174450676266E-2</v>
          </cell>
          <cell r="U8">
            <v>2.9955891087149134E-2</v>
          </cell>
          <cell r="V8">
            <v>3.4759149784788113E-2</v>
          </cell>
          <cell r="W8">
            <v>3.7371498644720669E-2</v>
          </cell>
          <cell r="X8">
            <v>3.625555601963848E-2</v>
          </cell>
          <cell r="Y8">
            <v>3.3665093491951348E-2</v>
          </cell>
          <cell r="Z8">
            <v>3.0448698309285094E-2</v>
          </cell>
          <cell r="AA8">
            <v>1.4754928775690068E-2</v>
          </cell>
          <cell r="AB8">
            <v>-2.6650188570587208E-4</v>
          </cell>
          <cell r="AC8">
            <v>-1.2536952303372706E-2</v>
          </cell>
        </row>
        <row r="9">
          <cell r="F9">
            <v>2292.1710724534701</v>
          </cell>
          <cell r="G9">
            <v>2305.6522153608939</v>
          </cell>
          <cell r="H9">
            <v>2316.1195803110095</v>
          </cell>
          <cell r="I9">
            <v>2340.592074710672</v>
          </cell>
          <cell r="J9">
            <v>2366.2658568684237</v>
          </cell>
          <cell r="K9">
            <v>2390.2567879818766</v>
          </cell>
          <cell r="L9">
            <v>2428.8675808918651</v>
          </cell>
          <cell r="M9">
            <v>2436.3020428135583</v>
          </cell>
          <cell r="N9">
            <v>2466.7274704306938</v>
          </cell>
          <cell r="O9">
            <v>2495.4113514167475</v>
          </cell>
          <cell r="P9">
            <v>2509.8731337746617</v>
          </cell>
          <cell r="Q9">
            <v>2521.3004594399558</v>
          </cell>
          <cell r="R9">
            <v>2519.4283023803296</v>
          </cell>
          <cell r="S9">
            <v>2525.386211017214</v>
          </cell>
          <cell r="T9">
            <v>2543.4753469312277</v>
          </cell>
          <cell r="U9">
            <v>2568.0645077073023</v>
          </cell>
          <cell r="V9">
            <v>2579.2191083570324</v>
          </cell>
          <cell r="W9">
            <v>2599.8003639252506</v>
          </cell>
          <cell r="X9">
            <v>2627.4868188930677</v>
          </cell>
          <cell r="Y9">
            <v>2653.7667570093363</v>
          </cell>
          <cell r="Z9">
            <v>2667.7316357003147</v>
          </cell>
          <cell r="AA9">
            <v>2621.7622553938077</v>
          </cell>
          <cell r="AB9">
            <v>2567.3192069466868</v>
          </cell>
          <cell r="AC9">
            <v>2506.0709831692038</v>
          </cell>
        </row>
        <row r="10">
          <cell r="F10">
            <v>26.4762166705261</v>
          </cell>
          <cell r="G10">
            <v>25.988022829489431</v>
          </cell>
          <cell r="H10">
            <v>25.573478891248762</v>
          </cell>
          <cell r="I10">
            <v>25.461616157103641</v>
          </cell>
          <cell r="J10">
            <v>25.877289114345359</v>
          </cell>
          <cell r="K10">
            <v>25.92747987123202</v>
          </cell>
          <cell r="L10">
            <v>26.155133060045749</v>
          </cell>
          <cell r="M10">
            <v>25.668457833863101</v>
          </cell>
          <cell r="N10">
            <v>26.807243155341791</v>
          </cell>
          <cell r="O10">
            <v>27.66277950552108</v>
          </cell>
          <cell r="P10">
            <v>28.00517242784473</v>
          </cell>
          <cell r="Q10">
            <v>27.24261611496873</v>
          </cell>
          <cell r="R10">
            <v>26.30068867569307</v>
          </cell>
          <cell r="S10">
            <v>26.66333981952436</v>
          </cell>
          <cell r="T10">
            <v>26.04298533714427</v>
          </cell>
          <cell r="U10">
            <v>26.143651350787682</v>
          </cell>
          <cell r="V10">
            <v>26.0873400458978</v>
          </cell>
          <cell r="W10">
            <v>26.393693567773301</v>
          </cell>
          <cell r="X10">
            <v>26.65533770360166</v>
          </cell>
          <cell r="Y10">
            <v>26.661822256568971</v>
          </cell>
          <cell r="Z10">
            <v>26.23561592261126</v>
          </cell>
          <cell r="AA10">
            <v>26.11640546681927</v>
          </cell>
          <cell r="AB10">
            <v>25.33169665581638</v>
          </cell>
          <cell r="AC10">
            <v>24.714591978824441</v>
          </cell>
        </row>
        <row r="11">
          <cell r="F11">
            <v>511.19857674865659</v>
          </cell>
          <cell r="G11">
            <v>510.55313671752958</v>
          </cell>
          <cell r="H11">
            <v>514.92547164909467</v>
          </cell>
          <cell r="I11">
            <v>524.70040902247263</v>
          </cell>
          <cell r="J11">
            <v>540.3065291886594</v>
          </cell>
          <cell r="K11">
            <v>550.0746831602371</v>
          </cell>
          <cell r="L11">
            <v>564.45323816671214</v>
          </cell>
          <cell r="M11">
            <v>562.92223113567252</v>
          </cell>
          <cell r="N11">
            <v>579.08425846357682</v>
          </cell>
          <cell r="O11">
            <v>599.33759607156367</v>
          </cell>
          <cell r="P11">
            <v>625.09166297971774</v>
          </cell>
          <cell r="Q11">
            <v>650.73587947629676</v>
          </cell>
          <cell r="R11">
            <v>663.55767479009171</v>
          </cell>
          <cell r="S11">
            <v>674.22807776053958</v>
          </cell>
          <cell r="T11">
            <v>689.48599244682646</v>
          </cell>
          <cell r="U11">
            <v>704.10140519844754</v>
          </cell>
          <cell r="V11">
            <v>709.5472573028062</v>
          </cell>
          <cell r="W11">
            <v>724.73612400659181</v>
          </cell>
          <cell r="X11">
            <v>736.48433227485384</v>
          </cell>
          <cell r="Y11">
            <v>753.30698268673166</v>
          </cell>
          <cell r="Z11">
            <v>775.92905491444617</v>
          </cell>
          <cell r="AA11">
            <v>783.11779767296684</v>
          </cell>
          <cell r="AB11">
            <v>782.79965506965414</v>
          </cell>
          <cell r="AC11">
            <v>775.07225142025823</v>
          </cell>
        </row>
        <row r="12">
          <cell r="F12">
            <v>1754.4962790342875</v>
          </cell>
          <cell r="G12">
            <v>1769.1110558138748</v>
          </cell>
          <cell r="H12">
            <v>1775.6206297706658</v>
          </cell>
          <cell r="I12">
            <v>1790.4300495310958</v>
          </cell>
          <cell r="J12">
            <v>1800.0820385654192</v>
          </cell>
          <cell r="K12">
            <v>1814.2546249504076</v>
          </cell>
          <cell r="L12">
            <v>1838.2592096651072</v>
          </cell>
          <cell r="M12">
            <v>1847.7113538440226</v>
          </cell>
          <cell r="N12">
            <v>1860.8359688117753</v>
          </cell>
          <cell r="O12">
            <v>1868.4109758396626</v>
          </cell>
          <cell r="P12">
            <v>1856.7762983670991</v>
          </cell>
          <cell r="Q12">
            <v>1843.3219638486903</v>
          </cell>
          <cell r="R12">
            <v>1829.5699389145448</v>
          </cell>
          <cell r="S12">
            <v>1824.4947934371503</v>
          </cell>
          <cell r="T12">
            <v>1827.946369147257</v>
          </cell>
          <cell r="U12">
            <v>1837.8194511580673</v>
          </cell>
          <cell r="V12">
            <v>1843.5845110083285</v>
          </cell>
          <cell r="W12">
            <v>1848.6705463508856</v>
          </cell>
          <cell r="X12">
            <v>1864.3471489146123</v>
          </cell>
          <cell r="Y12">
            <v>1873.7979520660358</v>
          </cell>
          <cell r="Z12">
            <v>1865.566964863257</v>
          </cell>
          <cell r="AA12">
            <v>1812.5280522540215</v>
          </cell>
          <cell r="AB12">
            <v>1759.1878552212165</v>
          </cell>
          <cell r="AC12">
            <v>1706.2841397701213</v>
          </cell>
        </row>
        <row r="13">
          <cell r="F13">
            <v>504.26236708062351</v>
          </cell>
          <cell r="G13">
            <v>507.96316188113923</v>
          </cell>
          <cell r="H13">
            <v>510.0548586527463</v>
          </cell>
          <cell r="I13">
            <v>515.45412857961094</v>
          </cell>
          <cell r="J13">
            <v>517.84666414068272</v>
          </cell>
          <cell r="K13">
            <v>522.60349588901101</v>
          </cell>
          <cell r="L13">
            <v>529.68534896015797</v>
          </cell>
          <cell r="M13">
            <v>534.71823083275353</v>
          </cell>
          <cell r="N13">
            <v>537.58695640776511</v>
          </cell>
          <cell r="O13">
            <v>541.41055831867288</v>
          </cell>
          <cell r="P13">
            <v>535.43535436474394</v>
          </cell>
          <cell r="Q13">
            <v>524.55000394796548</v>
          </cell>
          <cell r="R13">
            <v>518.8605852680854</v>
          </cell>
          <cell r="S13">
            <v>512.08261537793294</v>
          </cell>
          <cell r="T13">
            <v>509.45552783760803</v>
          </cell>
          <cell r="U13">
            <v>508.54150178667197</v>
          </cell>
          <cell r="V13">
            <v>510.96789616079639</v>
          </cell>
          <cell r="W13">
            <v>514.82780589038111</v>
          </cell>
          <cell r="X13">
            <v>524.47800795882335</v>
          </cell>
          <cell r="Y13">
            <v>530.77140253761604</v>
          </cell>
          <cell r="Z13">
            <v>530.83268779392665</v>
          </cell>
          <cell r="AA13">
            <v>516.7459263809219</v>
          </cell>
          <cell r="AB13">
            <v>493.48734519393599</v>
          </cell>
          <cell r="AC13">
            <v>473.84383192072039</v>
          </cell>
        </row>
        <row r="14">
          <cell r="F14">
            <v>100.1343158489281</v>
          </cell>
          <cell r="G14">
            <v>99.324484766892894</v>
          </cell>
          <cell r="H14">
            <v>98.818292429337518</v>
          </cell>
          <cell r="I14">
            <v>99.8990219729682</v>
          </cell>
          <cell r="J14">
            <v>99.60304523701997</v>
          </cell>
          <cell r="K14">
            <v>98.887161055456602</v>
          </cell>
          <cell r="L14">
            <v>101.3293401893449</v>
          </cell>
          <cell r="M14">
            <v>102.7110463914257</v>
          </cell>
          <cell r="N14">
            <v>104.8933254992123</v>
          </cell>
          <cell r="O14">
            <v>108.3353422183955</v>
          </cell>
          <cell r="P14">
            <v>106.6088541585021</v>
          </cell>
          <cell r="Q14">
            <v>103.59516655242589</v>
          </cell>
          <cell r="R14">
            <v>100.05439774916491</v>
          </cell>
          <cell r="S14">
            <v>98.472292814759484</v>
          </cell>
          <cell r="T14">
            <v>95.878608206437718</v>
          </cell>
          <cell r="U14">
            <v>94.277116906019543</v>
          </cell>
          <cell r="V14">
            <v>93.607068802385783</v>
          </cell>
          <cell r="W14">
            <v>90.641521432666934</v>
          </cell>
          <cell r="X14">
            <v>89.540781877370833</v>
          </cell>
          <cell r="Y14">
            <v>88.320958860646343</v>
          </cell>
          <cell r="Z14">
            <v>87.821887820446491</v>
          </cell>
          <cell r="AA14">
            <v>87.256697862438244</v>
          </cell>
          <cell r="AB14">
            <v>85.445382464464785</v>
          </cell>
          <cell r="AC14">
            <v>84.124642775760236</v>
          </cell>
        </row>
        <row r="15">
          <cell r="F15">
            <v>404.12805123169539</v>
          </cell>
          <cell r="G15">
            <v>408.63867711424632</v>
          </cell>
          <cell r="H15">
            <v>411.23656622340877</v>
          </cell>
          <cell r="I15">
            <v>415.55510660664271</v>
          </cell>
          <cell r="J15">
            <v>418.24361890366271</v>
          </cell>
          <cell r="K15">
            <v>423.71633483355441</v>
          </cell>
          <cell r="L15">
            <v>428.35600877081311</v>
          </cell>
          <cell r="M15">
            <v>432.00718444132781</v>
          </cell>
          <cell r="N15">
            <v>432.69363090855279</v>
          </cell>
          <cell r="O15">
            <v>433.07521610027737</v>
          </cell>
          <cell r="P15">
            <v>428.8265002062418</v>
          </cell>
          <cell r="Q15">
            <v>420.95483739553958</v>
          </cell>
          <cell r="R15">
            <v>418.80618751892052</v>
          </cell>
          <cell r="S15">
            <v>413.6103225631735</v>
          </cell>
          <cell r="T15">
            <v>413.57691963117031</v>
          </cell>
          <cell r="U15">
            <v>414.26438488065241</v>
          </cell>
          <cell r="V15">
            <v>417.36082735841057</v>
          </cell>
          <cell r="W15">
            <v>424.18628445771418</v>
          </cell>
          <cell r="X15">
            <v>434.93722608145248</v>
          </cell>
          <cell r="Y15">
            <v>442.45044367696971</v>
          </cell>
          <cell r="Z15">
            <v>443.01079997348018</v>
          </cell>
          <cell r="AA15">
            <v>429.48922851848363</v>
          </cell>
          <cell r="AB15">
            <v>408.04196272947121</v>
          </cell>
          <cell r="AC15">
            <v>389.71918914496013</v>
          </cell>
        </row>
        <row r="16">
          <cell r="F16">
            <v>188.39186034747931</v>
          </cell>
          <cell r="G16">
            <v>188.69555458402317</v>
          </cell>
          <cell r="H16">
            <v>188.48002762408885</v>
          </cell>
          <cell r="I16">
            <v>188.16073282013991</v>
          </cell>
          <cell r="J16">
            <v>189.63343577476684</v>
          </cell>
          <cell r="K16">
            <v>189.73856928428975</v>
          </cell>
          <cell r="L16">
            <v>193.65655388343012</v>
          </cell>
          <cell r="M16">
            <v>189.06014800759564</v>
          </cell>
          <cell r="N16">
            <v>189.04484612074762</v>
          </cell>
          <cell r="O16">
            <v>189.59209958925601</v>
          </cell>
          <cell r="P16">
            <v>189.5942560029722</v>
          </cell>
          <cell r="Q16">
            <v>190.13279128996686</v>
          </cell>
          <cell r="R16">
            <v>188.34880959376136</v>
          </cell>
          <cell r="S16">
            <v>187.27561072788455</v>
          </cell>
          <cell r="T16">
            <v>187.84640109805517</v>
          </cell>
          <cell r="U16">
            <v>192.84278205618926</v>
          </cell>
          <cell r="V16">
            <v>189.60572519896442</v>
          </cell>
          <cell r="W16">
            <v>189.5908219683192</v>
          </cell>
          <cell r="X16">
            <v>189.83676855736408</v>
          </cell>
          <cell r="Y16">
            <v>191.7671214559536</v>
          </cell>
          <cell r="Z16">
            <v>194.305745079871</v>
          </cell>
          <cell r="AA16">
            <v>194.00961584269339</v>
          </cell>
          <cell r="AB16">
            <v>193.52844643450618</v>
          </cell>
          <cell r="AC16">
            <v>190.22479680741392</v>
          </cell>
        </row>
        <row r="17">
          <cell r="F17">
            <v>170.70164821204617</v>
          </cell>
          <cell r="G17">
            <v>171.00286313725047</v>
          </cell>
          <cell r="H17">
            <v>172.98606608420903</v>
          </cell>
          <cell r="I17">
            <v>173.16658601280446</v>
          </cell>
          <cell r="J17">
            <v>171.36903949749939</v>
          </cell>
          <cell r="K17">
            <v>171.32605795442862</v>
          </cell>
          <cell r="L17">
            <v>170.75726195065343</v>
          </cell>
          <cell r="M17">
            <v>169.99664417533668</v>
          </cell>
          <cell r="N17">
            <v>169.37194348037247</v>
          </cell>
          <cell r="O17">
            <v>168.57979951982807</v>
          </cell>
          <cell r="P17">
            <v>165.63853001164989</v>
          </cell>
          <cell r="Q17">
            <v>163.26281424034136</v>
          </cell>
          <cell r="R17">
            <v>161.39120511723689</v>
          </cell>
          <cell r="S17">
            <v>161.47378839909595</v>
          </cell>
          <cell r="T17">
            <v>162.89921029563118</v>
          </cell>
          <cell r="U17">
            <v>163.63124494342259</v>
          </cell>
          <cell r="V17">
            <v>163.70810254713587</v>
          </cell>
          <cell r="W17">
            <v>161.51279781291316</v>
          </cell>
          <cell r="X17">
            <v>159.90422124308927</v>
          </cell>
          <cell r="Y17">
            <v>156.0126444425855</v>
          </cell>
          <cell r="Z17">
            <v>149.64093884410045</v>
          </cell>
          <cell r="AA17">
            <v>143.12275314137386</v>
          </cell>
          <cell r="AB17">
            <v>136.79083323447824</v>
          </cell>
          <cell r="AC17">
            <v>131.09240288821044</v>
          </cell>
        </row>
        <row r="18">
          <cell r="F18">
            <v>891.14040339413862</v>
          </cell>
          <cell r="G18">
            <v>901.44947621146207</v>
          </cell>
          <cell r="H18">
            <v>904.09967740962156</v>
          </cell>
          <cell r="I18">
            <v>913.64860211854057</v>
          </cell>
          <cell r="J18">
            <v>921.23289915247028</v>
          </cell>
          <cell r="K18">
            <v>930.58650182267831</v>
          </cell>
          <cell r="L18">
            <v>944.1600448708657</v>
          </cell>
          <cell r="M18">
            <v>953.93633082833662</v>
          </cell>
          <cell r="N18">
            <v>964.83222280288999</v>
          </cell>
          <cell r="O18">
            <v>968.82851841190575</v>
          </cell>
          <cell r="P18">
            <v>966.10815798773308</v>
          </cell>
          <cell r="Q18">
            <v>965.37635437041649</v>
          </cell>
          <cell r="R18">
            <v>960.96933893546122</v>
          </cell>
          <cell r="S18">
            <v>963.66277893223685</v>
          </cell>
          <cell r="T18">
            <v>967.74522991596245</v>
          </cell>
          <cell r="U18">
            <v>972.80392237178364</v>
          </cell>
          <cell r="V18">
            <v>979.3027871014317</v>
          </cell>
          <cell r="W18">
            <v>982.73912067927222</v>
          </cell>
          <cell r="X18">
            <v>990.12815115533567</v>
          </cell>
          <cell r="Y18">
            <v>995.24678362988061</v>
          </cell>
          <cell r="Z18">
            <v>990.78759314535887</v>
          </cell>
          <cell r="AA18">
            <v>958.64975688903246</v>
          </cell>
          <cell r="AB18">
            <v>935.38123035829608</v>
          </cell>
          <cell r="AC18">
            <v>911.12310815377646</v>
          </cell>
        </row>
        <row r="19">
          <cell r="F19">
            <v>608.53519796176045</v>
          </cell>
          <cell r="G19">
            <v>617.43684614021367</v>
          </cell>
          <cell r="H19">
            <v>620.35160092028968</v>
          </cell>
          <cell r="I19">
            <v>627.78325900263985</v>
          </cell>
          <cell r="J19">
            <v>633.91662350881211</v>
          </cell>
          <cell r="K19">
            <v>641.43897345619212</v>
          </cell>
          <cell r="L19">
            <v>652.74653677132801</v>
          </cell>
          <cell r="M19">
            <v>660.34307515720457</v>
          </cell>
          <cell r="N19">
            <v>670.29913555880478</v>
          </cell>
          <cell r="O19">
            <v>673.63245743765219</v>
          </cell>
          <cell r="P19">
            <v>672.09403636377817</v>
          </cell>
          <cell r="Q19">
            <v>671.68532901073957</v>
          </cell>
          <cell r="R19">
            <v>666.93120037793437</v>
          </cell>
          <cell r="S19">
            <v>668.81160442372015</v>
          </cell>
          <cell r="T19">
            <v>674.00078447967485</v>
          </cell>
          <cell r="U19">
            <v>677.55457452278415</v>
          </cell>
          <cell r="V19">
            <v>683.42513921056059</v>
          </cell>
          <cell r="W19">
            <v>687.09027508508188</v>
          </cell>
          <cell r="X19">
            <v>695.96899806248075</v>
          </cell>
          <cell r="Y19">
            <v>701.01550439001483</v>
          </cell>
          <cell r="Z19">
            <v>697.97523754505016</v>
          </cell>
          <cell r="AA19">
            <v>672.85985404176415</v>
          </cell>
          <cell r="AB19">
            <v>653.96589380159912</v>
          </cell>
          <cell r="AC19">
            <v>636.13659074238853</v>
          </cell>
        </row>
        <row r="20">
          <cell r="F20">
            <v>282.60520543237817</v>
          </cell>
          <cell r="G20">
            <v>284.01263007124845</v>
          </cell>
          <cell r="H20">
            <v>283.74807648933188</v>
          </cell>
          <cell r="I20">
            <v>285.86534311590071</v>
          </cell>
          <cell r="J20">
            <v>287.31627564365817</v>
          </cell>
          <cell r="K20">
            <v>289.1475283664862</v>
          </cell>
          <cell r="L20">
            <v>291.41350809953769</v>
          </cell>
          <cell r="M20">
            <v>293.59325567113206</v>
          </cell>
          <cell r="N20">
            <v>294.53308724408521</v>
          </cell>
          <cell r="O20">
            <v>295.19606097425356</v>
          </cell>
          <cell r="P20">
            <v>294.01412162395491</v>
          </cell>
          <cell r="Q20">
            <v>293.69102535967693</v>
          </cell>
          <cell r="R20">
            <v>294.03813855752685</v>
          </cell>
          <cell r="S20">
            <v>294.85117450851669</v>
          </cell>
          <cell r="T20">
            <v>293.74444543628761</v>
          </cell>
          <cell r="U20">
            <v>295.24934784899949</v>
          </cell>
          <cell r="V20">
            <v>295.87764789087112</v>
          </cell>
          <cell r="W20">
            <v>295.64884559419033</v>
          </cell>
          <cell r="X20">
            <v>294.15915309285492</v>
          </cell>
          <cell r="Y20">
            <v>294.23127923986573</v>
          </cell>
          <cell r="Z20">
            <v>292.81235560030871</v>
          </cell>
          <cell r="AA20">
            <v>285.78990284726831</v>
          </cell>
          <cell r="AB20">
            <v>281.41533655669696</v>
          </cell>
          <cell r="AC20">
            <v>274.98651741138792</v>
          </cell>
        </row>
        <row r="21">
          <cell r="F21">
            <v>10342.54730005521</v>
          </cell>
          <cell r="G21">
            <v>10385.8781633362</v>
          </cell>
          <cell r="H21">
            <v>10451.71223284868</v>
          </cell>
          <cell r="I21">
            <v>10538.589593971994</v>
          </cell>
          <cell r="J21">
            <v>10592.034712104989</v>
          </cell>
          <cell r="K21">
            <v>10707.996696586495</v>
          </cell>
          <cell r="L21">
            <v>10751.932307401077</v>
          </cell>
          <cell r="M21">
            <v>10842.074585940016</v>
          </cell>
          <cell r="N21">
            <v>10955.994041353159</v>
          </cell>
          <cell r="O21">
            <v>11036.84088393885</v>
          </cell>
          <cell r="P21">
            <v>11155.215132304897</v>
          </cell>
          <cell r="Q21">
            <v>11239.684589037141</v>
          </cell>
          <cell r="R21">
            <v>11293.664865185743</v>
          </cell>
          <cell r="S21">
            <v>11397.026656170159</v>
          </cell>
          <cell r="T21">
            <v>11512.628138677821</v>
          </cell>
          <cell r="U21">
            <v>11605.14311013386</v>
          </cell>
          <cell r="V21">
            <v>11714.005433611703</v>
          </cell>
          <cell r="W21">
            <v>11842.913936859455</v>
          </cell>
          <cell r="X21">
            <v>11938.228514056313</v>
          </cell>
          <cell r="Y21">
            <v>11996.583220367285</v>
          </cell>
          <cell r="Z21">
            <v>12060.702988213698</v>
          </cell>
          <cell r="AA21">
            <v>12034.053266226618</v>
          </cell>
          <cell r="AB21">
            <v>11994.51433539981</v>
          </cell>
          <cell r="AC21">
            <v>11960.608255313329</v>
          </cell>
        </row>
        <row r="22">
          <cell r="F22">
            <v>2433.7227129588268</v>
          </cell>
          <cell r="G22">
            <v>2444.2188787017617</v>
          </cell>
          <cell r="H22">
            <v>2450.2630950119992</v>
          </cell>
          <cell r="I22">
            <v>2470.7345729799663</v>
          </cell>
          <cell r="J22">
            <v>2488.5111344754332</v>
          </cell>
          <cell r="K22">
            <v>2514.928960908107</v>
          </cell>
          <cell r="L22">
            <v>2518.4691513967919</v>
          </cell>
          <cell r="M22">
            <v>2541.6861939072305</v>
          </cell>
          <cell r="N22">
            <v>2567.3344161166483</v>
          </cell>
          <cell r="O22">
            <v>2574.2158272118563</v>
          </cell>
          <cell r="P22">
            <v>2593.8606874492889</v>
          </cell>
          <cell r="Q22">
            <v>2603.5048688891866</v>
          </cell>
          <cell r="R22">
            <v>2612.4650368626008</v>
          </cell>
          <cell r="S22">
            <v>2630.4481875294155</v>
          </cell>
          <cell r="T22">
            <v>2658.9510792988654</v>
          </cell>
          <cell r="U22">
            <v>2677.5840904019933</v>
          </cell>
          <cell r="V22">
            <v>2694.5734684721028</v>
          </cell>
          <cell r="W22">
            <v>2711.6743883503618</v>
          </cell>
          <cell r="X22">
            <v>2730.7616331421777</v>
          </cell>
          <cell r="Y22">
            <v>2747.8906142686424</v>
          </cell>
          <cell r="Z22">
            <v>2770.7767806442648</v>
          </cell>
          <cell r="AA22">
            <v>2758.5822558354444</v>
          </cell>
          <cell r="AB22">
            <v>2741.2126101142849</v>
          </cell>
          <cell r="AC22">
            <v>2716.9932363126186</v>
          </cell>
        </row>
        <row r="23">
          <cell r="F23">
            <v>565.5733349521671</v>
          </cell>
          <cell r="G23">
            <v>571.3870867629214</v>
          </cell>
          <cell r="H23">
            <v>576.21902695091376</v>
          </cell>
          <cell r="I23">
            <v>583.4624583002593</v>
          </cell>
          <cell r="J23">
            <v>587.38552201538698</v>
          </cell>
          <cell r="K23">
            <v>594.07456317703998</v>
          </cell>
          <cell r="L23">
            <v>598.96456012537737</v>
          </cell>
          <cell r="M23">
            <v>601.92885701786372</v>
          </cell>
          <cell r="N23">
            <v>609.13013570574014</v>
          </cell>
          <cell r="O23">
            <v>612.90617662012892</v>
          </cell>
          <cell r="P23">
            <v>615.17269473400415</v>
          </cell>
          <cell r="Q23">
            <v>619.11665201212179</v>
          </cell>
          <cell r="R23">
            <v>621.89462603124014</v>
          </cell>
          <cell r="S23">
            <v>625.36051980166189</v>
          </cell>
          <cell r="T23">
            <v>630.7965563094516</v>
          </cell>
          <cell r="U23">
            <v>634.56420416474248</v>
          </cell>
          <cell r="V23">
            <v>637.77755131808215</v>
          </cell>
          <cell r="W23">
            <v>641.48508343143169</v>
          </cell>
          <cell r="X23">
            <v>648.18570145723652</v>
          </cell>
          <cell r="Y23">
            <v>652.0796287161362</v>
          </cell>
          <cell r="Z23">
            <v>664.12405927720522</v>
          </cell>
          <cell r="AA23">
            <v>660.03291926079009</v>
          </cell>
          <cell r="AB23">
            <v>656.28116520102367</v>
          </cell>
          <cell r="AC23">
            <v>653.6254363009632</v>
          </cell>
        </row>
        <row r="24">
          <cell r="F24">
            <v>1403.207056841024</v>
          </cell>
          <cell r="G24">
            <v>1404.812293332584</v>
          </cell>
          <cell r="H24">
            <v>1404.8426027883479</v>
          </cell>
          <cell r="I24">
            <v>1415.5959584431389</v>
          </cell>
          <cell r="J24">
            <v>1427.179756304758</v>
          </cell>
          <cell r="K24">
            <v>1440.100451786572</v>
          </cell>
          <cell r="L24">
            <v>1446.8478181946989</v>
          </cell>
          <cell r="M24">
            <v>1453.979070317569</v>
          </cell>
          <cell r="N24">
            <v>1462.9555314624181</v>
          </cell>
          <cell r="O24">
            <v>1465.9979679566841</v>
          </cell>
          <cell r="P24">
            <v>1479.682202914666</v>
          </cell>
          <cell r="Q24">
            <v>1486.2629326049621</v>
          </cell>
          <cell r="R24">
            <v>1489.4193052578751</v>
          </cell>
          <cell r="S24">
            <v>1500.4074269134501</v>
          </cell>
          <cell r="T24">
            <v>1518.5509275496049</v>
          </cell>
          <cell r="U24">
            <v>1526.3386021091119</v>
          </cell>
          <cell r="V24">
            <v>1540.29780351316</v>
          </cell>
          <cell r="W24">
            <v>1553.3816585141169</v>
          </cell>
          <cell r="X24">
            <v>1565.2682777034599</v>
          </cell>
          <cell r="Y24">
            <v>1577.7168295649799</v>
          </cell>
          <cell r="Z24">
            <v>1583.3776003230521</v>
          </cell>
          <cell r="AA24">
            <v>1580.1402386710199</v>
          </cell>
          <cell r="AB24">
            <v>1573.0086828476749</v>
          </cell>
          <cell r="AC24">
            <v>1561.7944809036469</v>
          </cell>
        </row>
        <row r="25">
          <cell r="F25">
            <v>57.088795663192577</v>
          </cell>
          <cell r="G25">
            <v>56.448937109687591</v>
          </cell>
          <cell r="H25">
            <v>55.225174516985078</v>
          </cell>
          <cell r="I25">
            <v>54.903247961493761</v>
          </cell>
          <cell r="J25">
            <v>54.886767304701088</v>
          </cell>
          <cell r="K25">
            <v>56.110789328131283</v>
          </cell>
          <cell r="L25">
            <v>56.493702596446951</v>
          </cell>
          <cell r="M25">
            <v>57.247594119335851</v>
          </cell>
          <cell r="N25">
            <v>58.051503347446918</v>
          </cell>
          <cell r="O25">
            <v>57.942300968682353</v>
          </cell>
          <cell r="P25">
            <v>57.784107200537228</v>
          </cell>
          <cell r="Q25">
            <v>56.877209047764957</v>
          </cell>
          <cell r="R25">
            <v>57.497913598804558</v>
          </cell>
          <cell r="S25">
            <v>56.789159227271071</v>
          </cell>
          <cell r="T25">
            <v>56.755942496629871</v>
          </cell>
          <cell r="U25">
            <v>57.108829160181131</v>
          </cell>
          <cell r="V25">
            <v>56.482753294307422</v>
          </cell>
          <cell r="W25">
            <v>56.088335395105403</v>
          </cell>
          <cell r="X25">
            <v>56.083138040265943</v>
          </cell>
          <cell r="Y25">
            <v>55.378739212306051</v>
          </cell>
          <cell r="Z25">
            <v>54.859093795265643</v>
          </cell>
          <cell r="AA25">
            <v>54.713000094386523</v>
          </cell>
          <cell r="AB25">
            <v>54.706882083196362</v>
          </cell>
          <cell r="AC25">
            <v>54.888091510113107</v>
          </cell>
        </row>
        <row r="26">
          <cell r="F26">
            <v>407.85352550244312</v>
          </cell>
          <cell r="G26">
            <v>411.57056149656847</v>
          </cell>
          <cell r="H26">
            <v>413.97629075575219</v>
          </cell>
          <cell r="I26">
            <v>416.77290827507443</v>
          </cell>
          <cell r="J26">
            <v>419.05908885058699</v>
          </cell>
          <cell r="K26">
            <v>424.6431566163638</v>
          </cell>
          <cell r="L26">
            <v>416.16307048026852</v>
          </cell>
          <cell r="M26">
            <v>428.53067245246228</v>
          </cell>
          <cell r="N26">
            <v>437.19724560104322</v>
          </cell>
          <cell r="O26">
            <v>437.36938166636099</v>
          </cell>
          <cell r="P26">
            <v>441.22168260008192</v>
          </cell>
          <cell r="Q26">
            <v>441.24807522433758</v>
          </cell>
          <cell r="R26">
            <v>443.65319197468079</v>
          </cell>
          <cell r="S26">
            <v>447.89108158703237</v>
          </cell>
          <cell r="T26">
            <v>452.84765294317918</v>
          </cell>
          <cell r="U26">
            <v>459.57245496795798</v>
          </cell>
          <cell r="V26">
            <v>460.01536034655322</v>
          </cell>
          <cell r="W26">
            <v>460.71931100970772</v>
          </cell>
          <cell r="X26">
            <v>461.22451594121497</v>
          </cell>
          <cell r="Y26">
            <v>462.7154167752206</v>
          </cell>
          <cell r="Z26">
            <v>468.41602724874161</v>
          </cell>
          <cell r="AA26">
            <v>463.69609780924742</v>
          </cell>
          <cell r="AB26">
            <v>457.21587998238988</v>
          </cell>
          <cell r="AC26">
            <v>446.68522759789539</v>
          </cell>
        </row>
        <row r="27">
          <cell r="F27">
            <v>420.58901194772727</v>
          </cell>
          <cell r="G27">
            <v>427.79961891739828</v>
          </cell>
          <cell r="H27">
            <v>436.58399311065114</v>
          </cell>
          <cell r="I27">
            <v>446.24661462624516</v>
          </cell>
          <cell r="J27">
            <v>452.24993748994024</v>
          </cell>
          <cell r="K27">
            <v>460.89610154298526</v>
          </cell>
          <cell r="L27">
            <v>465.45841144597716</v>
          </cell>
          <cell r="M27">
            <v>468.49189663282402</v>
          </cell>
          <cell r="N27">
            <v>474.85618564068852</v>
          </cell>
          <cell r="O27">
            <v>474.15682500732777</v>
          </cell>
          <cell r="P27">
            <v>486.2150448360124</v>
          </cell>
          <cell r="Q27">
            <v>496.26569552452378</v>
          </cell>
          <cell r="R27">
            <v>503.95877489834157</v>
          </cell>
          <cell r="S27">
            <v>510.23663209189488</v>
          </cell>
          <cell r="T27">
            <v>524.76876627283002</v>
          </cell>
          <cell r="U27">
            <v>531.15850004099673</v>
          </cell>
          <cell r="V27">
            <v>546.97165705563759</v>
          </cell>
          <cell r="W27">
            <v>571.650879736158</v>
          </cell>
          <cell r="X27">
            <v>587.96170412187314</v>
          </cell>
          <cell r="Y27">
            <v>595.82021934385011</v>
          </cell>
          <cell r="Z27">
            <v>585.53257410128936</v>
          </cell>
          <cell r="AA27">
            <v>561.27782527038244</v>
          </cell>
          <cell r="AB27">
            <v>537.85293046145796</v>
          </cell>
          <cell r="AC27">
            <v>521.54289381094031</v>
          </cell>
        </row>
        <row r="28">
          <cell r="F28">
            <v>145.44646384806759</v>
          </cell>
          <cell r="G28">
            <v>153.1753745395047</v>
          </cell>
          <cell r="H28">
            <v>156.6344301562734</v>
          </cell>
          <cell r="I28">
            <v>162.4131777502383</v>
          </cell>
          <cell r="J28">
            <v>163.65834103655311</v>
          </cell>
          <cell r="K28">
            <v>166.51564218641329</v>
          </cell>
          <cell r="L28">
            <v>164.81799820842161</v>
          </cell>
          <cell r="M28">
            <v>164.60416486343439</v>
          </cell>
          <cell r="N28">
            <v>165.70105577160331</v>
          </cell>
          <cell r="O28">
            <v>163.24225962698259</v>
          </cell>
          <cell r="P28">
            <v>167.649807706404</v>
          </cell>
          <cell r="Q28">
            <v>172.38076013920451</v>
          </cell>
          <cell r="R28">
            <v>176.87227103516761</v>
          </cell>
          <cell r="S28">
            <v>176.65136658483709</v>
          </cell>
          <cell r="T28">
            <v>176.3956826812306</v>
          </cell>
          <cell r="U28">
            <v>170.82318033112529</v>
          </cell>
          <cell r="V28">
            <v>167.20707294144549</v>
          </cell>
          <cell r="W28">
            <v>169.60663557795081</v>
          </cell>
          <cell r="X28">
            <v>170.7482819584163</v>
          </cell>
          <cell r="Y28">
            <v>172.63827620607381</v>
          </cell>
          <cell r="Z28">
            <v>164.6505492305528</v>
          </cell>
          <cell r="AA28">
            <v>155.0009541801488</v>
          </cell>
          <cell r="AB28">
            <v>149.24282650096271</v>
          </cell>
          <cell r="AC28">
            <v>147.04629300542879</v>
          </cell>
        </row>
        <row r="29">
          <cell r="F29">
            <v>168.54033797682192</v>
          </cell>
          <cell r="G29">
            <v>168.53486267118041</v>
          </cell>
          <cell r="H29">
            <v>173.37041208767903</v>
          </cell>
          <cell r="I29">
            <v>177.0150070481416</v>
          </cell>
          <cell r="J29">
            <v>181.73083990153819</v>
          </cell>
          <cell r="K29">
            <v>188.12185125949961</v>
          </cell>
          <cell r="L29">
            <v>192.31495342905851</v>
          </cell>
          <cell r="M29">
            <v>194.87253960260955</v>
          </cell>
          <cell r="N29">
            <v>198.51835885748545</v>
          </cell>
          <cell r="O29">
            <v>201.05785767318622</v>
          </cell>
          <cell r="P29">
            <v>206.12050855847028</v>
          </cell>
          <cell r="Q29">
            <v>210.26487928983966</v>
          </cell>
          <cell r="R29">
            <v>213.01141403734971</v>
          </cell>
          <cell r="S29">
            <v>219.57267263985369</v>
          </cell>
          <cell r="T29">
            <v>228.47860252571934</v>
          </cell>
          <cell r="U29">
            <v>237.51307422576554</v>
          </cell>
          <cell r="V29">
            <v>253.13269691413626</v>
          </cell>
          <cell r="W29">
            <v>270.73866395791373</v>
          </cell>
          <cell r="X29">
            <v>282.1942295437716</v>
          </cell>
          <cell r="Y29">
            <v>288.83428174974387</v>
          </cell>
          <cell r="Z29">
            <v>289.86768805114275</v>
          </cell>
          <cell r="AA29">
            <v>277.69582912101026</v>
          </cell>
          <cell r="AB29">
            <v>263.39354928406175</v>
          </cell>
          <cell r="AC29">
            <v>254.27451459188228</v>
          </cell>
        </row>
        <row r="30">
          <cell r="F30">
            <v>29.21304656655742</v>
          </cell>
          <cell r="G30">
            <v>29.939001038233641</v>
          </cell>
          <cell r="H30">
            <v>31.386618750908472</v>
          </cell>
          <cell r="I30">
            <v>32.203467380243168</v>
          </cell>
          <cell r="J30">
            <v>33.716450082771523</v>
          </cell>
          <cell r="K30">
            <v>34.359381166473177</v>
          </cell>
          <cell r="L30">
            <v>34.206616743630534</v>
          </cell>
          <cell r="M30">
            <v>34.985046121463171</v>
          </cell>
          <cell r="N30">
            <v>35.394157939878042</v>
          </cell>
          <cell r="O30">
            <v>36.504452646490719</v>
          </cell>
          <cell r="P30">
            <v>37.750917508780873</v>
          </cell>
          <cell r="Q30">
            <v>38.648645324779999</v>
          </cell>
          <cell r="R30">
            <v>38.756971403149279</v>
          </cell>
          <cell r="S30">
            <v>39.213600418991092</v>
          </cell>
          <cell r="T30">
            <v>41.423734635882063</v>
          </cell>
          <cell r="U30">
            <v>42.413851182143397</v>
          </cell>
          <cell r="V30">
            <v>44.574191491020947</v>
          </cell>
          <cell r="W30">
            <v>47.471928139145341</v>
          </cell>
          <cell r="X30">
            <v>49.32863957777522</v>
          </cell>
          <cell r="Y30">
            <v>50.882178683712922</v>
          </cell>
          <cell r="Z30">
            <v>55.727050926550348</v>
          </cell>
          <cell r="AA30">
            <v>53.205961086626587</v>
          </cell>
          <cell r="AB30">
            <v>50.732911420451117</v>
          </cell>
          <cell r="AC30">
            <v>50.675923285851489</v>
          </cell>
        </row>
        <row r="31">
          <cell r="F31">
            <v>110.47228299045101</v>
          </cell>
          <cell r="G31">
            <v>108.857297166034</v>
          </cell>
          <cell r="H31">
            <v>110.71506984174169</v>
          </cell>
          <cell r="I31">
            <v>111.658679008213</v>
          </cell>
          <cell r="J31">
            <v>113.92958900898979</v>
          </cell>
          <cell r="K31">
            <v>118.8641782258879</v>
          </cell>
          <cell r="L31">
            <v>122.05776599504421</v>
          </cell>
          <cell r="M31">
            <v>124.43152092861899</v>
          </cell>
          <cell r="N31">
            <v>125.48205558860251</v>
          </cell>
          <cell r="O31">
            <v>125.99449891892721</v>
          </cell>
          <cell r="P31">
            <v>127.36245526741411</v>
          </cell>
          <cell r="Q31">
            <v>128.5809994068446</v>
          </cell>
          <cell r="R31">
            <v>129.77517036527519</v>
          </cell>
          <cell r="S31">
            <v>131.973859718216</v>
          </cell>
          <cell r="T31">
            <v>133.69213654164079</v>
          </cell>
          <cell r="U31">
            <v>134.48235025245751</v>
          </cell>
          <cell r="V31">
            <v>138.41185292968461</v>
          </cell>
          <cell r="W31">
            <v>142.29507195053071</v>
          </cell>
          <cell r="X31">
            <v>145.36472486535021</v>
          </cell>
          <cell r="Y31">
            <v>149.24460364965941</v>
          </cell>
          <cell r="Z31">
            <v>149.39686211082929</v>
          </cell>
          <cell r="AA31">
            <v>146.2400550025362</v>
          </cell>
          <cell r="AB31">
            <v>143.51904219985909</v>
          </cell>
          <cell r="AC31">
            <v>141.13390655458451</v>
          </cell>
        </row>
        <row r="32">
          <cell r="F32">
            <v>28.85500841981349</v>
          </cell>
          <cell r="G32">
            <v>29.738564466912759</v>
          </cell>
          <cell r="H32">
            <v>31.268723495028851</v>
          </cell>
          <cell r="I32">
            <v>33.152860659685437</v>
          </cell>
          <cell r="J32">
            <v>34.084800809776873</v>
          </cell>
          <cell r="K32">
            <v>34.898291867138532</v>
          </cell>
          <cell r="L32">
            <v>36.050570690383793</v>
          </cell>
          <cell r="M32">
            <v>35.455972552527378</v>
          </cell>
          <cell r="N32">
            <v>37.642145329004897</v>
          </cell>
          <cell r="O32">
            <v>38.558906107768273</v>
          </cell>
          <cell r="P32">
            <v>41.007135782275292</v>
          </cell>
          <cell r="Q32">
            <v>43.035234558215038</v>
          </cell>
          <cell r="R32">
            <v>44.479272268925222</v>
          </cell>
          <cell r="S32">
            <v>48.385212502646603</v>
          </cell>
          <cell r="T32">
            <v>53.362731348196483</v>
          </cell>
          <cell r="U32">
            <v>60.616872791164653</v>
          </cell>
          <cell r="V32">
            <v>70.146652493430722</v>
          </cell>
          <cell r="W32">
            <v>80.97166386823767</v>
          </cell>
          <cell r="X32">
            <v>87.500865100646166</v>
          </cell>
          <cell r="Y32">
            <v>88.707499416371533</v>
          </cell>
          <cell r="Z32">
            <v>84.743775013763127</v>
          </cell>
          <cell r="AA32">
            <v>78.249813031847467</v>
          </cell>
          <cell r="AB32">
            <v>69.141595663751545</v>
          </cell>
          <cell r="AC32">
            <v>62.464684751446278</v>
          </cell>
        </row>
        <row r="33">
          <cell r="C33" t="str">
            <v>Other Information Services</v>
          </cell>
          <cell r="F33">
            <v>106.60221012283773</v>
          </cell>
          <cell r="G33">
            <v>106.08938170671313</v>
          </cell>
          <cell r="H33">
            <v>106.5791508666987</v>
          </cell>
          <cell r="I33">
            <v>106.81842982786526</v>
          </cell>
          <cell r="J33">
            <v>106.86075655184897</v>
          </cell>
          <cell r="K33">
            <v>106.25860809707234</v>
          </cell>
          <cell r="L33">
            <v>108.32545980849706</v>
          </cell>
          <cell r="M33">
            <v>109.01519216678005</v>
          </cell>
          <cell r="N33">
            <v>110.63677101159976</v>
          </cell>
          <cell r="O33">
            <v>109.85670770715893</v>
          </cell>
          <cell r="P33">
            <v>112.44472857113811</v>
          </cell>
          <cell r="Q33">
            <v>113.62005609547957</v>
          </cell>
          <cell r="R33">
            <v>114.07508982582425</v>
          </cell>
          <cell r="S33">
            <v>114.01259286720412</v>
          </cell>
          <cell r="T33">
            <v>119.89448106588009</v>
          </cell>
          <cell r="U33">
            <v>122.82224548410589</v>
          </cell>
          <cell r="V33">
            <v>126.63188720005591</v>
          </cell>
          <cell r="W33">
            <v>131.30558020029349</v>
          </cell>
          <cell r="X33">
            <v>135.01919261968521</v>
          </cell>
          <cell r="Y33">
            <v>134.34766138803235</v>
          </cell>
          <cell r="Z33">
            <v>131.01433681959381</v>
          </cell>
          <cell r="AA33">
            <v>128.58104196922346</v>
          </cell>
          <cell r="AB33">
            <v>125.21655467643343</v>
          </cell>
          <cell r="AC33">
            <v>120.2220862136293</v>
          </cell>
          <cell r="AD33">
            <v>117.65249298092473</v>
          </cell>
          <cell r="AE33">
            <v>114.834151972798</v>
          </cell>
          <cell r="AF33">
            <v>118.15346324700153</v>
          </cell>
          <cell r="AG33">
            <v>117.49540467825527</v>
          </cell>
          <cell r="AH33">
            <v>116.15619074358298</v>
          </cell>
          <cell r="AI33">
            <v>114.44921410928589</v>
          </cell>
          <cell r="AJ33">
            <v>114.96568558293599</v>
          </cell>
          <cell r="AK33">
            <v>113.52866237829565</v>
          </cell>
          <cell r="AL33">
            <v>115.08870611126318</v>
          </cell>
          <cell r="AM33">
            <v>114.45325971386725</v>
          </cell>
          <cell r="AN33">
            <v>117.06766436981357</v>
          </cell>
          <cell r="AO33">
            <v>117.4746</v>
          </cell>
          <cell r="AP33">
            <v>117.852</v>
          </cell>
          <cell r="AQ33">
            <v>118.2013</v>
          </cell>
          <cell r="AR33">
            <v>118.5442</v>
          </cell>
          <cell r="AS33">
            <v>118.87220000000001</v>
          </cell>
          <cell r="AT33">
            <v>119.1832</v>
          </cell>
          <cell r="AU33">
            <v>119.49590000000001</v>
          </cell>
          <cell r="AV33">
            <v>119.82510000000001</v>
          </cell>
          <cell r="AW33">
            <v>120.1687</v>
          </cell>
          <cell r="AX33">
            <v>120.49979999999999</v>
          </cell>
          <cell r="AY33">
            <v>120.82470000000001</v>
          </cell>
          <cell r="AZ33">
            <v>121.1446</v>
          </cell>
          <cell r="BA33">
            <v>121.45829999999999</v>
          </cell>
        </row>
        <row r="34">
          <cell r="F34">
            <v>742.76411815256949</v>
          </cell>
          <cell r="G34">
            <v>745.7420661599491</v>
          </cell>
          <cell r="H34">
            <v>742.12646576427812</v>
          </cell>
          <cell r="I34">
            <v>740.57544123266848</v>
          </cell>
          <cell r="J34">
            <v>733.76714057515017</v>
          </cell>
          <cell r="K34">
            <v>737.99800430079176</v>
          </cell>
          <cell r="L34">
            <v>748.03187650934296</v>
          </cell>
          <cell r="M34">
            <v>757.30306858082974</v>
          </cell>
          <cell r="N34">
            <v>762.21904187955829</v>
          </cell>
          <cell r="O34">
            <v>769.06934292178892</v>
          </cell>
          <cell r="P34">
            <v>778.74083601642292</v>
          </cell>
          <cell r="Q34">
            <v>785.73429719216335</v>
          </cell>
          <cell r="R34">
            <v>791.74212539174778</v>
          </cell>
          <cell r="S34">
            <v>794.46980575046325</v>
          </cell>
          <cell r="T34">
            <v>793.37066570077025</v>
          </cell>
          <cell r="U34">
            <v>793.1495723978162</v>
          </cell>
          <cell r="V34">
            <v>793.23496120563129</v>
          </cell>
          <cell r="W34">
            <v>792.34254537317895</v>
          </cell>
          <cell r="X34">
            <v>795.70187392040555</v>
          </cell>
          <cell r="Y34">
            <v>799.13826184520133</v>
          </cell>
          <cell r="Z34">
            <v>828.69689646990491</v>
          </cell>
          <cell r="AA34">
            <v>833.66803246146901</v>
          </cell>
          <cell r="AB34">
            <v>835.4945111292725</v>
          </cell>
          <cell r="AC34">
            <v>843.07352633387518</v>
          </cell>
        </row>
        <row r="35">
          <cell r="F35">
            <v>1728.311883661213</v>
          </cell>
          <cell r="G35">
            <v>1744.0165238907048</v>
          </cell>
          <cell r="H35">
            <v>1775.0018085623719</v>
          </cell>
          <cell r="I35">
            <v>1806.6554640162699</v>
          </cell>
          <cell r="J35">
            <v>1834.5251643742899</v>
          </cell>
          <cell r="K35">
            <v>1876.311925431864</v>
          </cell>
          <cell r="L35">
            <v>1905.825923968629</v>
          </cell>
          <cell r="M35">
            <v>1934.7063395805233</v>
          </cell>
          <cell r="N35">
            <v>1991.794301509773</v>
          </cell>
          <cell r="O35">
            <v>2021.9534962522589</v>
          </cell>
          <cell r="P35">
            <v>2058.7189912165409</v>
          </cell>
          <cell r="Q35">
            <v>2073.049074677142</v>
          </cell>
          <cell r="R35">
            <v>2070.244892884687</v>
          </cell>
          <cell r="S35">
            <v>2107.1353956951089</v>
          </cell>
          <cell r="T35">
            <v>2135.3907203899298</v>
          </cell>
          <cell r="U35">
            <v>2161.329541661989</v>
          </cell>
          <cell r="V35">
            <v>2193.7958032812189</v>
          </cell>
          <cell r="W35">
            <v>2238.2099939147788</v>
          </cell>
          <cell r="X35">
            <v>2267.9839410012728</v>
          </cell>
          <cell r="Y35">
            <v>2281.848859108427</v>
          </cell>
          <cell r="Z35">
            <v>2248.865206009079</v>
          </cell>
          <cell r="AA35">
            <v>2209.377348731743</v>
          </cell>
          <cell r="AB35">
            <v>2164.5943855530813</v>
          </cell>
          <cell r="AC35">
            <v>2123.96776030305</v>
          </cell>
        </row>
        <row r="36">
          <cell r="F36">
            <v>177.28391685795071</v>
          </cell>
          <cell r="G36">
            <v>180.37000723958306</v>
          </cell>
          <cell r="H36">
            <v>184.86229163857229</v>
          </cell>
          <cell r="I36">
            <v>191.10077453755002</v>
          </cell>
          <cell r="J36">
            <v>197.4752002344589</v>
          </cell>
          <cell r="K36">
            <v>203.46328796719001</v>
          </cell>
          <cell r="L36">
            <v>209.20697320615125</v>
          </cell>
          <cell r="M36">
            <v>211.38825733107149</v>
          </cell>
          <cell r="N36">
            <v>217.16371473970017</v>
          </cell>
          <cell r="O36">
            <v>222.21233203108017</v>
          </cell>
          <cell r="P36">
            <v>228.7879367995144</v>
          </cell>
          <cell r="Q36">
            <v>234.90937552556341</v>
          </cell>
          <cell r="R36">
            <v>240.65425804786514</v>
          </cell>
          <cell r="S36">
            <v>247.91121356052645</v>
          </cell>
          <cell r="T36">
            <v>252.60240574218176</v>
          </cell>
          <cell r="U36">
            <v>260.81660203462224</v>
          </cell>
          <cell r="V36">
            <v>273.31285113066951</v>
          </cell>
          <cell r="W36">
            <v>288.53732866485035</v>
          </cell>
          <cell r="X36">
            <v>302.56943857183762</v>
          </cell>
          <cell r="Y36">
            <v>311.18436106350339</v>
          </cell>
          <cell r="Z36">
            <v>311.52909685539544</v>
          </cell>
          <cell r="AA36">
            <v>302.33121449633688</v>
          </cell>
          <cell r="AB36">
            <v>287.72536309153264</v>
          </cell>
          <cell r="AC36">
            <v>278.96178793890959</v>
          </cell>
        </row>
        <row r="37">
          <cell r="F37">
            <v>106.3589562663619</v>
          </cell>
          <cell r="G37">
            <v>109.4413690187572</v>
          </cell>
          <cell r="H37">
            <v>114.23167310643819</v>
          </cell>
          <cell r="I37">
            <v>119.6311797389148</v>
          </cell>
          <cell r="J37">
            <v>124.41107353386531</v>
          </cell>
          <cell r="K37">
            <v>128.7925829341014</v>
          </cell>
          <cell r="L37">
            <v>132.30133475423079</v>
          </cell>
          <cell r="M37">
            <v>134.9656706848142</v>
          </cell>
          <cell r="N37">
            <v>138.39017617689089</v>
          </cell>
          <cell r="O37">
            <v>142.47977877670749</v>
          </cell>
          <cell r="P37">
            <v>147.44266908003371</v>
          </cell>
          <cell r="Q37">
            <v>152.45656566144839</v>
          </cell>
          <cell r="R37">
            <v>156.83968543920199</v>
          </cell>
          <cell r="S37">
            <v>162.96001096522849</v>
          </cell>
          <cell r="T37">
            <v>168.2321556496681</v>
          </cell>
          <cell r="U37">
            <v>175.5895150754373</v>
          </cell>
          <cell r="V37">
            <v>186.20578107956189</v>
          </cell>
          <cell r="W37">
            <v>200.386328575741</v>
          </cell>
          <cell r="X37">
            <v>212.84737227267311</v>
          </cell>
          <cell r="Y37">
            <v>219.66230244997649</v>
          </cell>
          <cell r="Z37">
            <v>219.37068967047091</v>
          </cell>
          <cell r="AA37">
            <v>209.83896533648371</v>
          </cell>
          <cell r="AB37">
            <v>194.9714559452822</v>
          </cell>
          <cell r="AC37">
            <v>186.71358313949679</v>
          </cell>
        </row>
        <row r="38">
          <cell r="F38">
            <v>70.9249605915888</v>
          </cell>
          <cell r="G38">
            <v>70.92863822082586</v>
          </cell>
          <cell r="H38">
            <v>70.630618532134093</v>
          </cell>
          <cell r="I38">
            <v>71.469594798635228</v>
          </cell>
          <cell r="J38">
            <v>73.064126700593604</v>
          </cell>
          <cell r="K38">
            <v>74.670705033088595</v>
          </cell>
          <cell r="L38">
            <v>76.905638451920467</v>
          </cell>
          <cell r="M38">
            <v>76.422586646257287</v>
          </cell>
          <cell r="N38">
            <v>78.773538562809279</v>
          </cell>
          <cell r="O38">
            <v>79.732553254372661</v>
          </cell>
          <cell r="P38">
            <v>81.345267719480674</v>
          </cell>
          <cell r="Q38">
            <v>82.452809864115025</v>
          </cell>
          <cell r="R38">
            <v>83.814572608663156</v>
          </cell>
          <cell r="S38">
            <v>84.951202595297943</v>
          </cell>
          <cell r="T38">
            <v>84.370250092513643</v>
          </cell>
          <cell r="U38">
            <v>85.22708695918493</v>
          </cell>
          <cell r="V38">
            <v>87.107070051107641</v>
          </cell>
          <cell r="W38">
            <v>88.151000089109331</v>
          </cell>
          <cell r="X38">
            <v>89.722066299164496</v>
          </cell>
          <cell r="Y38">
            <v>91.522058613526895</v>
          </cell>
          <cell r="Z38">
            <v>92.158407184924499</v>
          </cell>
          <cell r="AA38">
            <v>92.492249159853202</v>
          </cell>
          <cell r="AB38">
            <v>92.753907146250427</v>
          </cell>
          <cell r="AC38">
            <v>92.24820479941279</v>
          </cell>
        </row>
        <row r="39">
          <cell r="F39">
            <v>343.01952504716667</v>
          </cell>
          <cell r="G39">
            <v>344.33075643872371</v>
          </cell>
          <cell r="H39">
            <v>343.24308437032573</v>
          </cell>
          <cell r="I39">
            <v>344.90429299617978</v>
          </cell>
          <cell r="J39">
            <v>347.1164241184959</v>
          </cell>
          <cell r="K39">
            <v>353.26276228390128</v>
          </cell>
          <cell r="L39">
            <v>355.89780563472027</v>
          </cell>
          <cell r="M39">
            <v>356.6790807615638</v>
          </cell>
          <cell r="N39">
            <v>359.61329481229518</v>
          </cell>
          <cell r="O39">
            <v>363.45686747810146</v>
          </cell>
          <cell r="P39">
            <v>367.28136978670949</v>
          </cell>
          <cell r="Q39">
            <v>365.91384187413041</v>
          </cell>
          <cell r="R39">
            <v>365.95690798387244</v>
          </cell>
          <cell r="S39">
            <v>369.06878418470922</v>
          </cell>
          <cell r="T39">
            <v>377.03231525212664</v>
          </cell>
          <cell r="U39">
            <v>376.71553200856613</v>
          </cell>
          <cell r="V39">
            <v>376.61367958982993</v>
          </cell>
          <cell r="W39">
            <v>377.42113481223134</v>
          </cell>
          <cell r="X39">
            <v>381.62457678330503</v>
          </cell>
          <cell r="Y39">
            <v>389.81066958849942</v>
          </cell>
          <cell r="Z39">
            <v>390.83235439126531</v>
          </cell>
          <cell r="AA39">
            <v>393.89471835466384</v>
          </cell>
          <cell r="AB39">
            <v>395.41447366292289</v>
          </cell>
          <cell r="AC39">
            <v>396.4806285556574</v>
          </cell>
        </row>
        <row r="40">
          <cell r="F40">
            <v>314.41853609963181</v>
          </cell>
          <cell r="G40">
            <v>323.67566225976032</v>
          </cell>
          <cell r="H40">
            <v>343.03583430699939</v>
          </cell>
          <cell r="I40">
            <v>349.78130648205041</v>
          </cell>
          <cell r="J40">
            <v>351.79498193392078</v>
          </cell>
          <cell r="K40">
            <v>366.51114160140048</v>
          </cell>
          <cell r="L40">
            <v>376.73036630595391</v>
          </cell>
          <cell r="M40">
            <v>389.55431030776208</v>
          </cell>
          <cell r="N40">
            <v>419.75146720210648</v>
          </cell>
          <cell r="O40">
            <v>427.46870401360928</v>
          </cell>
          <cell r="P40">
            <v>440.1669008039778</v>
          </cell>
          <cell r="Q40">
            <v>441.11573220063548</v>
          </cell>
          <cell r="R40">
            <v>426.1417014527006</v>
          </cell>
          <cell r="S40">
            <v>436.4842934415347</v>
          </cell>
          <cell r="T40">
            <v>450.1600243560402</v>
          </cell>
          <cell r="U40">
            <v>464.72403915666052</v>
          </cell>
          <cell r="V40">
            <v>480.4980499719419</v>
          </cell>
          <cell r="W40">
            <v>498.66581602660727</v>
          </cell>
          <cell r="X40">
            <v>499.14729658276559</v>
          </cell>
          <cell r="Y40">
            <v>494.25886041439043</v>
          </cell>
          <cell r="Z40">
            <v>478.07047155103982</v>
          </cell>
          <cell r="AA40">
            <v>453.51397730928039</v>
          </cell>
          <cell r="AB40">
            <v>430.62116439145348</v>
          </cell>
          <cell r="AC40">
            <v>408.97700373624451</v>
          </cell>
        </row>
        <row r="41">
          <cell r="F41">
            <v>893.58990565646377</v>
          </cell>
          <cell r="G41">
            <v>895.6400979526378</v>
          </cell>
          <cell r="H41">
            <v>903.86059824647452</v>
          </cell>
          <cell r="I41">
            <v>920.86909000048968</v>
          </cell>
          <cell r="J41">
            <v>938.13855808741437</v>
          </cell>
          <cell r="K41">
            <v>953.07473357937226</v>
          </cell>
          <cell r="L41">
            <v>963.9907788218037</v>
          </cell>
          <cell r="M41">
            <v>977.0846911801259</v>
          </cell>
          <cell r="N41">
            <v>995.26582475567113</v>
          </cell>
          <cell r="O41">
            <v>1008.8155927294679</v>
          </cell>
          <cell r="P41">
            <v>1022.4827838263391</v>
          </cell>
          <cell r="Q41">
            <v>1031.1101250768127</v>
          </cell>
          <cell r="R41">
            <v>1037.4920254002488</v>
          </cell>
          <cell r="S41">
            <v>1053.6711045083384</v>
          </cell>
          <cell r="T41">
            <v>1055.5959750395812</v>
          </cell>
          <cell r="U41">
            <v>1059.07336846214</v>
          </cell>
          <cell r="V41">
            <v>1063.3712225887775</v>
          </cell>
          <cell r="W41">
            <v>1073.5857144110898</v>
          </cell>
          <cell r="X41">
            <v>1084.6426290633647</v>
          </cell>
          <cell r="Y41">
            <v>1086.5949680420338</v>
          </cell>
          <cell r="Z41">
            <v>1068.4332832113785</v>
          </cell>
          <cell r="AA41">
            <v>1059.6374385714621</v>
          </cell>
          <cell r="AB41">
            <v>1050.8333844071726</v>
          </cell>
          <cell r="AC41">
            <v>1039.5483400722385</v>
          </cell>
        </row>
        <row r="42">
          <cell r="F42">
            <v>1258.2173306202287</v>
          </cell>
          <cell r="G42">
            <v>1262.0265447249246</v>
          </cell>
          <cell r="H42">
            <v>1269.8856011514374</v>
          </cell>
          <cell r="I42">
            <v>1268.4811063467935</v>
          </cell>
          <cell r="J42">
            <v>1278.0595246220087</v>
          </cell>
          <cell r="K42">
            <v>1290.6499898737613</v>
          </cell>
          <cell r="L42">
            <v>1291.8383877444599</v>
          </cell>
          <cell r="M42">
            <v>1306.6572735452089</v>
          </cell>
          <cell r="N42">
            <v>1313.3064433855111</v>
          </cell>
          <cell r="O42">
            <v>1327.6526745089845</v>
          </cell>
          <cell r="P42">
            <v>1334.1968777182378</v>
          </cell>
          <cell r="Q42">
            <v>1344.8368880978396</v>
          </cell>
          <cell r="R42">
            <v>1351.8344960514783</v>
          </cell>
          <cell r="S42">
            <v>1365.0886198073233</v>
          </cell>
          <cell r="T42">
            <v>1375.9627008283835</v>
          </cell>
          <cell r="U42">
            <v>1380.3933702007271</v>
          </cell>
          <cell r="V42">
            <v>1393.0924716623883</v>
          </cell>
          <cell r="W42">
            <v>1390.9826467952744</v>
          </cell>
          <cell r="X42">
            <v>1405.1500814115675</v>
          </cell>
          <cell r="Y42">
            <v>1403.5653408596404</v>
          </cell>
          <cell r="Z42">
            <v>1423.4491023192518</v>
          </cell>
          <cell r="AA42">
            <v>1437.6905701906235</v>
          </cell>
          <cell r="AB42">
            <v>1452.7370206519765</v>
          </cell>
          <cell r="AC42">
            <v>1472.9926104279821</v>
          </cell>
        </row>
        <row r="43">
          <cell r="F43">
            <v>1216.8264430168701</v>
          </cell>
          <cell r="G43">
            <v>1216.2986938266979</v>
          </cell>
          <cell r="H43">
            <v>1222.7938119705229</v>
          </cell>
          <cell r="I43">
            <v>1238.5383000106215</v>
          </cell>
          <cell r="J43">
            <v>1229.9371657876918</v>
          </cell>
          <cell r="K43">
            <v>1244.0459343972559</v>
          </cell>
          <cell r="L43">
            <v>1235.3088091800023</v>
          </cell>
          <cell r="M43">
            <v>1234.646165024589</v>
          </cell>
          <cell r="N43">
            <v>1249.5541014693335</v>
          </cell>
          <cell r="O43">
            <v>1257.0511103350484</v>
          </cell>
          <cell r="P43">
            <v>1268.4720972652342</v>
          </cell>
          <cell r="Q43">
            <v>1275.9713516069482</v>
          </cell>
          <cell r="R43">
            <v>1280.4386898808293</v>
          </cell>
          <cell r="S43">
            <v>1290.8526589108319</v>
          </cell>
          <cell r="T43">
            <v>1301.8412121318679</v>
          </cell>
          <cell r="U43">
            <v>1314.7103313589296</v>
          </cell>
          <cell r="V43">
            <v>1314.9042953361698</v>
          </cell>
          <cell r="W43">
            <v>1325.6886968535653</v>
          </cell>
          <cell r="X43">
            <v>1342.7221772349033</v>
          </cell>
          <cell r="Y43">
            <v>1346.63725316562</v>
          </cell>
          <cell r="Z43">
            <v>1361.2044843641879</v>
          </cell>
          <cell r="AA43">
            <v>1364.6722862295246</v>
          </cell>
          <cell r="AB43">
            <v>1365.6453332106898</v>
          </cell>
          <cell r="AC43">
            <v>1364.6912000979007</v>
          </cell>
        </row>
        <row r="44">
          <cell r="F44">
            <v>437.09137861575658</v>
          </cell>
          <cell r="G44">
            <v>438.67772218076209</v>
          </cell>
          <cell r="H44">
            <v>439.40716851678701</v>
          </cell>
          <cell r="I44">
            <v>441.69043504459802</v>
          </cell>
          <cell r="J44">
            <v>441.32696330303992</v>
          </cell>
          <cell r="K44">
            <v>444.77480713748912</v>
          </cell>
          <cell r="L44">
            <v>447.39789052009837</v>
          </cell>
          <cell r="M44">
            <v>447.35704559000351</v>
          </cell>
          <cell r="N44">
            <v>453.27176489999232</v>
          </cell>
          <cell r="O44">
            <v>458.89354824804968</v>
          </cell>
          <cell r="P44">
            <v>462.09622357807172</v>
          </cell>
          <cell r="Q44">
            <v>465.92979999418532</v>
          </cell>
          <cell r="R44">
            <v>468.15408938078423</v>
          </cell>
          <cell r="S44">
            <v>468.00705640567281</v>
          </cell>
          <cell r="T44">
            <v>475.6391645571357</v>
          </cell>
          <cell r="U44">
            <v>481.01882580799452</v>
          </cell>
          <cell r="V44">
            <v>483.2427879235546</v>
          </cell>
          <cell r="W44">
            <v>485.06197435416408</v>
          </cell>
          <cell r="X44">
            <v>488.65891596742051</v>
          </cell>
          <cell r="Y44">
            <v>489.82612481702239</v>
          </cell>
          <cell r="Z44">
            <v>495.83741028000333</v>
          </cell>
          <cell r="AA44">
            <v>497.72020411251702</v>
          </cell>
          <cell r="AB44">
            <v>500.65858246970151</v>
          </cell>
          <cell r="AC44">
            <v>501.8888858632119</v>
          </cell>
        </row>
        <row r="45">
          <cell r="F45">
            <v>2105.0244210820183</v>
          </cell>
          <cell r="G45">
            <v>2107.0981149340005</v>
          </cell>
          <cell r="H45">
            <v>2115.6502887606321</v>
          </cell>
          <cell r="I45">
            <v>2125.6676597148307</v>
          </cell>
          <cell r="J45">
            <v>2133.6576814774344</v>
          </cell>
          <cell r="K45">
            <v>2138.3909729942407</v>
          </cell>
          <cell r="L45">
            <v>2139.6018566357761</v>
          </cell>
          <cell r="M45">
            <v>2151.2266030788051</v>
          </cell>
          <cell r="N45">
            <v>2143.6577864516544</v>
          </cell>
          <cell r="O45">
            <v>2153.8480594535331</v>
          </cell>
          <cell r="P45">
            <v>2172.914374225089</v>
          </cell>
          <cell r="Q45">
            <v>2194.3926130551527</v>
          </cell>
          <cell r="R45">
            <v>2214.8267598352718</v>
          </cell>
          <cell r="S45">
            <v>2230.7882999794469</v>
          </cell>
          <cell r="T45">
            <v>2246.7038294980384</v>
          </cell>
          <cell r="U45">
            <v>2265.7988782634129</v>
          </cell>
          <cell r="V45">
            <v>2294.1899886749998</v>
          </cell>
          <cell r="W45">
            <v>2327.3028114819726</v>
          </cell>
          <cell r="X45">
            <v>2319.2881872566923</v>
          </cell>
          <cell r="Y45">
            <v>2331.8565469588825</v>
          </cell>
          <cell r="Z45">
            <v>2346.3405340257154</v>
          </cell>
          <cell r="AA45">
            <v>2371.0647433949148</v>
          </cell>
          <cell r="AB45">
            <v>2396.3189618093461</v>
          </cell>
          <cell r="AC45">
            <v>2415.4581421637504</v>
          </cell>
        </row>
        <row r="46">
          <cell r="F46">
            <v>303.59382615501215</v>
          </cell>
          <cell r="G46">
            <v>297.22029193532666</v>
          </cell>
          <cell r="H46">
            <v>292.4798799291184</v>
          </cell>
          <cell r="I46">
            <v>290.36938848151618</v>
          </cell>
          <cell r="J46">
            <v>288.13002887369618</v>
          </cell>
          <cell r="K46">
            <v>287.55556587896996</v>
          </cell>
          <cell r="L46">
            <v>282.8122655417182</v>
          </cell>
          <cell r="M46">
            <v>280.14528659028213</v>
          </cell>
          <cell r="N46">
            <v>273.17826505573657</v>
          </cell>
          <cell r="O46">
            <v>270.14402858675192</v>
          </cell>
          <cell r="P46">
            <v>272.27756467202812</v>
          </cell>
          <cell r="Q46">
            <v>274.74562322934383</v>
          </cell>
          <cell r="R46">
            <v>272.23158888419778</v>
          </cell>
          <cell r="S46">
            <v>269.87158565813206</v>
          </cell>
          <cell r="T46">
            <v>269.09201848844941</v>
          </cell>
          <cell r="U46">
            <v>269.35455366972133</v>
          </cell>
          <cell r="V46">
            <v>270.19486927915744</v>
          </cell>
          <cell r="W46">
            <v>292.21113426567524</v>
          </cell>
          <cell r="X46">
            <v>268.03398709334181</v>
          </cell>
          <cell r="Y46">
            <v>261.18517516756418</v>
          </cell>
          <cell r="Z46">
            <v>254.93783709977589</v>
          </cell>
          <cell r="AA46">
            <v>252.67689418274171</v>
          </cell>
          <cell r="AB46">
            <v>254.73590104125537</v>
          </cell>
          <cell r="AC46">
            <v>255.1848879680395</v>
          </cell>
        </row>
        <row r="47">
          <cell r="F47">
            <v>404.25057251072241</v>
          </cell>
          <cell r="G47">
            <v>405.43155061959561</v>
          </cell>
          <cell r="H47">
            <v>406.20220852894158</v>
          </cell>
          <cell r="I47">
            <v>406.7013027952587</v>
          </cell>
          <cell r="J47">
            <v>408.12634722959012</v>
          </cell>
          <cell r="K47">
            <v>407.69207438868602</v>
          </cell>
          <cell r="L47">
            <v>407.20243921960969</v>
          </cell>
          <cell r="M47">
            <v>409.3537727497278</v>
          </cell>
          <cell r="N47">
            <v>408.50194001443373</v>
          </cell>
          <cell r="O47">
            <v>410.9899064893699</v>
          </cell>
          <cell r="P47">
            <v>413.47520693413259</v>
          </cell>
          <cell r="Q47">
            <v>419.00165644044461</v>
          </cell>
          <cell r="R47">
            <v>422.68899776253301</v>
          </cell>
          <cell r="S47">
            <v>426.65851819129273</v>
          </cell>
          <cell r="T47">
            <v>429.60452377532982</v>
          </cell>
          <cell r="U47">
            <v>434.17734870711558</v>
          </cell>
          <cell r="V47">
            <v>435.56339509206362</v>
          </cell>
          <cell r="W47">
            <v>442.60563687753847</v>
          </cell>
          <cell r="X47">
            <v>446.25508611327228</v>
          </cell>
          <cell r="Y47">
            <v>449.07186176773951</v>
          </cell>
          <cell r="Z47">
            <v>454.23295898705948</v>
          </cell>
          <cell r="AA47">
            <v>458.22880114270322</v>
          </cell>
          <cell r="AB47">
            <v>464.9455427517986</v>
          </cell>
          <cell r="AC47">
            <v>467.31466417275749</v>
          </cell>
        </row>
        <row r="48">
          <cell r="F48">
            <v>1397.1800224162839</v>
          </cell>
          <cell r="G48">
            <v>1404.446272379078</v>
          </cell>
          <cell r="H48">
            <v>1416.9682003025721</v>
          </cell>
          <cell r="I48">
            <v>1428.5969684380559</v>
          </cell>
          <cell r="J48">
            <v>1437.401305374148</v>
          </cell>
          <cell r="K48">
            <v>1443.143332726585</v>
          </cell>
          <cell r="L48">
            <v>1449.587151874448</v>
          </cell>
          <cell r="M48">
            <v>1461.727543738795</v>
          </cell>
          <cell r="N48">
            <v>1461.977581381484</v>
          </cell>
          <cell r="O48">
            <v>1472.7141243774111</v>
          </cell>
          <cell r="P48">
            <v>1487.1616026189281</v>
          </cell>
          <cell r="Q48">
            <v>1500.645333385364</v>
          </cell>
          <cell r="R48">
            <v>1519.9061731885411</v>
          </cell>
          <cell r="S48">
            <v>1534.258196130022</v>
          </cell>
          <cell r="T48">
            <v>1548.0072872342589</v>
          </cell>
          <cell r="U48">
            <v>1562.2669758865759</v>
          </cell>
          <cell r="V48">
            <v>1588.431724303779</v>
          </cell>
          <cell r="W48">
            <v>1592.486040338759</v>
          </cell>
          <cell r="X48">
            <v>1604.9991140500781</v>
          </cell>
          <cell r="Y48">
            <v>1621.5995100235789</v>
          </cell>
          <cell r="Z48">
            <v>1637.16973793888</v>
          </cell>
          <cell r="AA48">
            <v>1660.1590480694699</v>
          </cell>
          <cell r="AB48">
            <v>1676.637518016292</v>
          </cell>
          <cell r="AC48">
            <v>1692.9585900229531</v>
          </cell>
        </row>
        <row r="50">
          <cell r="F50">
            <v>1996</v>
          </cell>
          <cell r="J50">
            <v>1997</v>
          </cell>
          <cell r="N50">
            <v>1998</v>
          </cell>
          <cell r="R50">
            <v>1999</v>
          </cell>
          <cell r="V50">
            <v>2000</v>
          </cell>
          <cell r="Z50">
            <v>2001</v>
          </cell>
        </row>
        <row r="51">
          <cell r="F51" t="str">
            <v>I</v>
          </cell>
          <cell r="G51" t="str">
            <v>II</v>
          </cell>
          <cell r="H51" t="str">
            <v>III</v>
          </cell>
          <cell r="I51" t="str">
            <v>IV</v>
          </cell>
          <cell r="J51" t="str">
            <v>I</v>
          </cell>
          <cell r="K51" t="str">
            <v>II</v>
          </cell>
          <cell r="L51" t="str">
            <v>III</v>
          </cell>
          <cell r="M51" t="str">
            <v>IV</v>
          </cell>
          <cell r="N51" t="str">
            <v>I</v>
          </cell>
          <cell r="O51" t="str">
            <v>II</v>
          </cell>
          <cell r="P51" t="str">
            <v>III</v>
          </cell>
          <cell r="Q51" t="str">
            <v>IV</v>
          </cell>
          <cell r="R51" t="str">
            <v>I</v>
          </cell>
        </row>
        <row r="52">
          <cell r="F52">
            <v>799.84848499355996</v>
          </cell>
          <cell r="G52">
            <v>804.7644656788392</v>
          </cell>
          <cell r="H52">
            <v>809.32869004536906</v>
          </cell>
          <cell r="I52">
            <v>827.85143128223137</v>
          </cell>
          <cell r="J52">
            <v>838.41249207886813</v>
          </cell>
          <cell r="K52">
            <v>850.62679862548805</v>
          </cell>
          <cell r="L52">
            <v>867.05511509226767</v>
          </cell>
          <cell r="M52">
            <v>886.08511420337595</v>
          </cell>
          <cell r="N52">
            <v>908.24169581078388</v>
          </cell>
          <cell r="O52">
            <v>925.89689253720712</v>
          </cell>
          <cell r="P52">
            <v>941.33873485434503</v>
          </cell>
          <cell r="Q52">
            <v>968.55732079766415</v>
          </cell>
          <cell r="R52">
            <v>956.65970543264814</v>
          </cell>
        </row>
        <row r="53">
          <cell r="F53">
            <v>643.42142681541259</v>
          </cell>
          <cell r="G53">
            <v>646.39686364242846</v>
          </cell>
          <cell r="H53">
            <v>650.43017121582238</v>
          </cell>
          <cell r="I53">
            <v>668.7259383263364</v>
          </cell>
          <cell r="J53">
            <v>680.86636407129822</v>
          </cell>
          <cell r="K53">
            <v>692.80313500554723</v>
          </cell>
          <cell r="L53">
            <v>709.88439239436764</v>
          </cell>
          <cell r="M53">
            <v>728.67340052878683</v>
          </cell>
          <cell r="N53">
            <v>746.10492055455893</v>
          </cell>
          <cell r="O53">
            <v>761.99656814418006</v>
          </cell>
          <cell r="P53">
            <v>776.6561053831299</v>
          </cell>
          <cell r="Q53">
            <v>801.61257791813102</v>
          </cell>
          <cell r="R53">
            <v>783.65411162065493</v>
          </cell>
        </row>
        <row r="54">
          <cell r="F54">
            <v>435.38443035107275</v>
          </cell>
          <cell r="G54">
            <v>436.3343657628842</v>
          </cell>
          <cell r="H54">
            <v>437.45359811568909</v>
          </cell>
          <cell r="I54">
            <v>449.59850577035388</v>
          </cell>
          <cell r="J54">
            <v>460.30850093828946</v>
          </cell>
          <cell r="K54">
            <v>467.78817928585761</v>
          </cell>
          <cell r="L54">
            <v>478.80818322184092</v>
          </cell>
          <cell r="M54">
            <v>490.52430855401195</v>
          </cell>
          <cell r="N54">
            <v>498.71173826692473</v>
          </cell>
          <cell r="O54">
            <v>508.77324430951768</v>
          </cell>
          <cell r="P54">
            <v>519.24857839117658</v>
          </cell>
          <cell r="Q54">
            <v>540.33257903238109</v>
          </cell>
          <cell r="R54">
            <v>532.42836821778837</v>
          </cell>
        </row>
        <row r="55">
          <cell r="F55">
            <v>88.99199155082124</v>
          </cell>
          <cell r="G55">
            <v>88.994561671604458</v>
          </cell>
          <cell r="H55">
            <v>89.33003035515739</v>
          </cell>
          <cell r="I55">
            <v>91.54080042241705</v>
          </cell>
          <cell r="J55">
            <v>91.432981087118094</v>
          </cell>
          <cell r="K55">
            <v>91.988876151152809</v>
          </cell>
          <cell r="L55">
            <v>93.870082520084836</v>
          </cell>
          <cell r="M55">
            <v>95.674952241644405</v>
          </cell>
          <cell r="N55">
            <v>96.562822121680455</v>
          </cell>
          <cell r="O55">
            <v>97.992721329002777</v>
          </cell>
          <cell r="P55">
            <v>99.722315067334392</v>
          </cell>
          <cell r="Q55">
            <v>103.79284148198226</v>
          </cell>
          <cell r="R55">
            <v>101.57389993346771</v>
          </cell>
        </row>
        <row r="56">
          <cell r="F56">
            <v>85.677495429962974</v>
          </cell>
          <cell r="G56">
            <v>85.326177483546786</v>
          </cell>
          <cell r="H56">
            <v>85.10423733845397</v>
          </cell>
          <cell r="I56">
            <v>87.678393748036271</v>
          </cell>
          <cell r="J56">
            <v>89.509848586875776</v>
          </cell>
          <cell r="K56">
            <v>89.588276906207199</v>
          </cell>
          <cell r="L56">
            <v>91.932826768091175</v>
          </cell>
          <cell r="M56">
            <v>94.951699738825823</v>
          </cell>
          <cell r="N56">
            <v>99.747868297790333</v>
          </cell>
          <cell r="O56">
            <v>101.23678557300511</v>
          </cell>
          <cell r="P56">
            <v>103.37998391893731</v>
          </cell>
          <cell r="Q56">
            <v>108.32421421026723</v>
          </cell>
          <cell r="R56">
            <v>103.74025987287203</v>
          </cell>
        </row>
        <row r="57">
          <cell r="F57">
            <v>4.1559117107262411</v>
          </cell>
          <cell r="G57">
            <v>4.0920580539198586</v>
          </cell>
          <cell r="H57">
            <v>4.0619060891924157</v>
          </cell>
          <cell r="I57">
            <v>4.1153241461614831</v>
          </cell>
          <cell r="J57">
            <v>4.7543601239918196</v>
          </cell>
          <cell r="K57">
            <v>4.3533929815890477</v>
          </cell>
          <cell r="L57">
            <v>4.414112977171798</v>
          </cell>
          <cell r="M57">
            <v>4.5737739172473315</v>
          </cell>
          <cell r="N57">
            <v>3.8654957549855582</v>
          </cell>
          <cell r="O57">
            <v>3.7788616967495376</v>
          </cell>
          <cell r="P57">
            <v>3.5335615614512097</v>
          </cell>
          <cell r="Q57">
            <v>3.7805769868136929</v>
          </cell>
          <cell r="R57">
            <v>4.1472413134845443</v>
          </cell>
        </row>
        <row r="58">
          <cell r="F58">
            <v>81.52158371923673</v>
          </cell>
          <cell r="G58">
            <v>81.234119429626929</v>
          </cell>
          <cell r="H58">
            <v>81.042331249261551</v>
          </cell>
          <cell r="I58">
            <v>83.563069601874787</v>
          </cell>
          <cell r="J58">
            <v>84.75548846288396</v>
          </cell>
          <cell r="K58">
            <v>85.234883924618146</v>
          </cell>
          <cell r="L58">
            <v>87.518713790919378</v>
          </cell>
          <cell r="M58">
            <v>90.377925821578486</v>
          </cell>
          <cell r="N58">
            <v>95.882372542804774</v>
          </cell>
          <cell r="O58">
            <v>97.457923876255563</v>
          </cell>
          <cell r="P58">
            <v>99.846422357486105</v>
          </cell>
          <cell r="Q58">
            <v>104.54363722345353</v>
          </cell>
          <cell r="R58">
            <v>99.593018559387488</v>
          </cell>
        </row>
        <row r="59">
          <cell r="F59">
            <v>150.95427251704044</v>
          </cell>
          <cell r="G59">
            <v>153.89998253603599</v>
          </cell>
          <cell r="H59">
            <v>157.21963480904265</v>
          </cell>
          <cell r="I59">
            <v>160.7744061378809</v>
          </cell>
          <cell r="J59">
            <v>160.42194155158563</v>
          </cell>
          <cell r="K59">
            <v>164.24124001592952</v>
          </cell>
          <cell r="L59">
            <v>167.72167579590501</v>
          </cell>
          <cell r="M59">
            <v>171.80573463657981</v>
          </cell>
          <cell r="N59">
            <v>175.2772534522332</v>
          </cell>
          <cell r="O59">
            <v>181.13705131613261</v>
          </cell>
          <cell r="P59">
            <v>184.43241941816763</v>
          </cell>
          <cell r="Q59">
            <v>184.28638381346664</v>
          </cell>
          <cell r="R59">
            <v>179.11733999109904</v>
          </cell>
        </row>
        <row r="60">
          <cell r="F60">
            <v>93.799403944795841</v>
          </cell>
          <cell r="G60">
            <v>95.454682587730204</v>
          </cell>
          <cell r="H60">
            <v>96.884181298224945</v>
          </cell>
          <cell r="I60">
            <v>99.371156169249033</v>
          </cell>
          <cell r="J60">
            <v>98.230845843428597</v>
          </cell>
          <cell r="K60">
            <v>100.66293591892735</v>
          </cell>
          <cell r="L60">
            <v>102.76081703279799</v>
          </cell>
          <cell r="M60">
            <v>106.16804920484607</v>
          </cell>
          <cell r="N60">
            <v>108.82724487898838</v>
          </cell>
          <cell r="O60">
            <v>112.8812390010936</v>
          </cell>
          <cell r="P60">
            <v>114.834508361182</v>
          </cell>
          <cell r="Q60">
            <v>114.03292375873608</v>
          </cell>
          <cell r="R60">
            <v>108.79181476039682</v>
          </cell>
        </row>
        <row r="61">
          <cell r="F61">
            <v>62.607615819842799</v>
          </cell>
          <cell r="G61">
            <v>63.712452791009675</v>
          </cell>
          <cell r="H61">
            <v>64.666590049006402</v>
          </cell>
          <cell r="I61">
            <v>66.326553340141132</v>
          </cell>
          <cell r="J61">
            <v>63.125428421473615</v>
          </cell>
          <cell r="K61">
            <v>64.688346124739454</v>
          </cell>
          <cell r="L61">
            <v>66.036493368645736</v>
          </cell>
          <cell r="M61">
            <v>68.226060085141157</v>
          </cell>
          <cell r="N61">
            <v>71.48234435267058</v>
          </cell>
          <cell r="O61">
            <v>74.145179419038968</v>
          </cell>
          <cell r="P61">
            <v>75.428169475128456</v>
          </cell>
          <cell r="Q61">
            <v>74.901654753161992</v>
          </cell>
          <cell r="R61">
            <v>68.527535724068201</v>
          </cell>
        </row>
        <row r="62">
          <cell r="F62">
            <v>31.191788124953042</v>
          </cell>
          <cell r="G62">
            <v>31.74222979672053</v>
          </cell>
          <cell r="H62">
            <v>32.217591249218543</v>
          </cell>
          <cell r="I62">
            <v>33.044602829107902</v>
          </cell>
          <cell r="J62">
            <v>35.105417421954982</v>
          </cell>
          <cell r="K62">
            <v>35.974589794187892</v>
          </cell>
          <cell r="L62">
            <v>36.724323664152251</v>
          </cell>
          <cell r="M62">
            <v>37.941989119704914</v>
          </cell>
          <cell r="N62">
            <v>37.344900526317801</v>
          </cell>
          <cell r="O62">
            <v>38.736059582054637</v>
          </cell>
          <cell r="P62">
            <v>39.406338886053547</v>
          </cell>
          <cell r="Q62">
            <v>39.131269005574083</v>
          </cell>
          <cell r="R62">
            <v>40.264279036328617</v>
          </cell>
        </row>
        <row r="63">
          <cell r="F63">
            <v>32.716008800307264</v>
          </cell>
          <cell r="G63">
            <v>33.373695862187155</v>
          </cell>
          <cell r="H63">
            <v>35.050060552646876</v>
          </cell>
          <cell r="I63">
            <v>36.19320678485871</v>
          </cell>
          <cell r="J63">
            <v>37.571528826696188</v>
          </cell>
          <cell r="K63">
            <v>39.11713587614409</v>
          </cell>
          <cell r="L63">
            <v>40.79667834880938</v>
          </cell>
          <cell r="M63">
            <v>41.60311694835034</v>
          </cell>
          <cell r="N63">
            <v>42.683564865841049</v>
          </cell>
          <cell r="O63">
            <v>42.88416095731332</v>
          </cell>
          <cell r="P63">
            <v>42.726596273285253</v>
          </cell>
          <cell r="Q63">
            <v>42.703437903560406</v>
          </cell>
          <cell r="R63">
            <v>42.840910083082285</v>
          </cell>
        </row>
        <row r="64">
          <cell r="F64">
            <v>24.438859771937341</v>
          </cell>
          <cell r="G64">
            <v>25.071604086118651</v>
          </cell>
          <cell r="H64">
            <v>25.285392958170828</v>
          </cell>
          <cell r="I64">
            <v>25.210043183773159</v>
          </cell>
          <cell r="J64">
            <v>24.619566881460862</v>
          </cell>
          <cell r="K64">
            <v>24.461168220858106</v>
          </cell>
          <cell r="L64">
            <v>24.164180414297643</v>
          </cell>
          <cell r="M64">
            <v>24.034568483383403</v>
          </cell>
          <cell r="N64">
            <v>23.766443707403763</v>
          </cell>
          <cell r="O64">
            <v>25.371651357725696</v>
          </cell>
          <cell r="P64">
            <v>26.871314783700374</v>
          </cell>
          <cell r="Q64">
            <v>27.550022151170175</v>
          </cell>
          <cell r="R64">
            <v>27.484615147619945</v>
          </cell>
        </row>
        <row r="65">
          <cell r="F65">
            <v>104.68936333843955</v>
          </cell>
          <cell r="G65">
            <v>105.94144253008506</v>
          </cell>
          <cell r="H65">
            <v>105.92416094233481</v>
          </cell>
          <cell r="I65">
            <v>105.56438518914058</v>
          </cell>
          <cell r="J65">
            <v>105.54122720938895</v>
          </cell>
          <cell r="K65">
            <v>106.72396619978332</v>
          </cell>
          <cell r="L65">
            <v>105.77844435482795</v>
          </cell>
          <cell r="M65">
            <v>105.5576582359997</v>
          </cell>
          <cell r="N65">
            <v>111.68230446308046</v>
          </cell>
          <cell r="O65">
            <v>111.63076525941339</v>
          </cell>
          <cell r="P65">
            <v>110.64931590238993</v>
          </cell>
          <cell r="Q65">
            <v>110.67882237511624</v>
          </cell>
          <cell r="R65">
            <v>117.76056447466354</v>
          </cell>
        </row>
        <row r="66">
          <cell r="F66">
            <v>65.836667872836514</v>
          </cell>
          <cell r="G66">
            <v>65.718782626257507</v>
          </cell>
          <cell r="H66">
            <v>65.690042379496816</v>
          </cell>
          <cell r="I66">
            <v>67.292307121409152</v>
          </cell>
          <cell r="J66">
            <v>68.691587343529804</v>
          </cell>
          <cell r="K66">
            <v>69.593993274965669</v>
          </cell>
          <cell r="L66">
            <v>70.947158860865443</v>
          </cell>
          <cell r="M66">
            <v>72.319896520639048</v>
          </cell>
          <cell r="N66">
            <v>73.625388798687197</v>
          </cell>
          <cell r="O66">
            <v>74.757531073926643</v>
          </cell>
          <cell r="P66">
            <v>75.969814746636459</v>
          </cell>
          <cell r="Q66">
            <v>78.732525380749692</v>
          </cell>
          <cell r="R66">
            <v>77.785770582777928</v>
          </cell>
        </row>
        <row r="67">
          <cell r="F67">
            <v>-1.2400320940371568E-2</v>
          </cell>
          <cell r="G67">
            <v>-1.328167905962843E-2</v>
          </cell>
          <cell r="H67">
            <v>-1.2929135811925686E-2</v>
          </cell>
          <cell r="I67">
            <v>-1.2752864188074314E-2</v>
          </cell>
          <cell r="J67">
            <v>-0.11041995085995086</v>
          </cell>
          <cell r="K67">
            <v>-0.10974665847665847</v>
          </cell>
          <cell r="L67">
            <v>-0.10893870761670761</v>
          </cell>
          <cell r="M67">
            <v>-0.10934268304668301</v>
          </cell>
          <cell r="N67">
            <v>-0.11490199223803363</v>
          </cell>
          <cell r="O67">
            <v>-0.11614417593790427</v>
          </cell>
          <cell r="P67">
            <v>-0.12406309702457954</v>
          </cell>
          <cell r="Q67">
            <v>-0.12499473479948253</v>
          </cell>
          <cell r="R67">
            <v>-0.1749564744645799</v>
          </cell>
        </row>
        <row r="68">
          <cell r="F68">
            <v>105.4616221382084</v>
          </cell>
          <cell r="G68">
            <v>103.4363475097972</v>
          </cell>
          <cell r="H68">
            <v>105.33151948680842</v>
          </cell>
          <cell r="I68">
            <v>108.55731486518599</v>
          </cell>
          <cell r="J68">
            <v>117.6381565546375</v>
          </cell>
          <cell r="K68">
            <v>116.85409642010175</v>
          </cell>
          <cell r="L68">
            <v>121.1723986779311</v>
          </cell>
          <cell r="M68">
            <v>124.68323634732963</v>
          </cell>
          <cell r="N68">
            <v>132.80404236619961</v>
          </cell>
          <cell r="O68">
            <v>132.4153659489815</v>
          </cell>
          <cell r="P68">
            <v>136.58415956776315</v>
          </cell>
          <cell r="Q68">
            <v>141.31946411705596</v>
          </cell>
          <cell r="R68">
            <v>151.35318547036658</v>
          </cell>
        </row>
        <row r="69">
          <cell r="F69">
            <v>694.38686285535152</v>
          </cell>
          <cell r="G69">
            <v>701.328118169042</v>
          </cell>
          <cell r="H69">
            <v>703.99717055856058</v>
          </cell>
          <cell r="I69">
            <v>719.29411641704542</v>
          </cell>
          <cell r="J69">
            <v>720.77433552423065</v>
          </cell>
          <cell r="K69">
            <v>733.77270220538628</v>
          </cell>
          <cell r="L69">
            <v>745.88271641433653</v>
          </cell>
          <cell r="M69">
            <v>761.40187785604633</v>
          </cell>
          <cell r="N69">
            <v>775.43765344458427</v>
          </cell>
          <cell r="O69">
            <v>793.48152658822562</v>
          </cell>
          <cell r="P69">
            <v>804.75457528658194</v>
          </cell>
          <cell r="Q69">
            <v>827.23785668060816</v>
          </cell>
          <cell r="R69">
            <v>805.30651996228153</v>
          </cell>
        </row>
        <row r="72">
          <cell r="F72">
            <v>1996</v>
          </cell>
          <cell r="J72">
            <v>1997</v>
          </cell>
          <cell r="N72">
            <v>1998</v>
          </cell>
          <cell r="R72">
            <v>1999</v>
          </cell>
        </row>
        <row r="73">
          <cell r="F73" t="str">
            <v>I</v>
          </cell>
          <cell r="G73" t="str">
            <v>II</v>
          </cell>
          <cell r="H73" t="str">
            <v>III</v>
          </cell>
          <cell r="I73" t="str">
            <v>IV</v>
          </cell>
          <cell r="J73" t="str">
            <v>I</v>
          </cell>
          <cell r="K73" t="str">
            <v>II</v>
          </cell>
          <cell r="L73" t="str">
            <v>III</v>
          </cell>
          <cell r="M73" t="str">
            <v>IV</v>
          </cell>
          <cell r="N73" t="str">
            <v>I</v>
          </cell>
          <cell r="O73" t="str">
            <v>II</v>
          </cell>
          <cell r="P73" t="str">
            <v>III</v>
          </cell>
          <cell r="Q73" t="str">
            <v>IV</v>
          </cell>
          <cell r="R73" t="str">
            <v>I</v>
          </cell>
        </row>
        <row r="74">
          <cell r="F74">
            <v>95.802499957592971</v>
          </cell>
          <cell r="G74">
            <v>92.933766798486758</v>
          </cell>
          <cell r="H74">
            <v>93.524488819692806</v>
          </cell>
          <cell r="I74">
            <v>93.226934800672879</v>
          </cell>
          <cell r="J74">
            <v>103.93575374341641</v>
          </cell>
          <cell r="K74">
            <v>106.33117761695897</v>
          </cell>
          <cell r="L74">
            <v>115.92457877193777</v>
          </cell>
          <cell r="M74">
            <v>117.94030470238975</v>
          </cell>
          <cell r="N74">
            <v>115.40433333333334</v>
          </cell>
          <cell r="O74">
            <v>127.02200000000001</v>
          </cell>
          <cell r="P74">
            <v>126.87866666666666</v>
          </cell>
          <cell r="Q74">
            <v>134.62233333333333</v>
          </cell>
          <cell r="R74">
            <v>135.84833333333333</v>
          </cell>
        </row>
        <row r="75">
          <cell r="F75">
            <v>73.228776387314852</v>
          </cell>
          <cell r="G75">
            <v>75.18315267594167</v>
          </cell>
          <cell r="H75">
            <v>76.192102640658334</v>
          </cell>
          <cell r="I75">
            <v>73.36686589323017</v>
          </cell>
          <cell r="J75">
            <v>83.318691384024874</v>
          </cell>
          <cell r="K75">
            <v>81.223855693777992</v>
          </cell>
          <cell r="L75">
            <v>86.994328623637827</v>
          </cell>
          <cell r="M75">
            <v>86.979422139426944</v>
          </cell>
          <cell r="N75">
            <v>91.424333333333337</v>
          </cell>
          <cell r="O75">
            <v>89.783000000000001</v>
          </cell>
          <cell r="P75">
            <v>96.646666666666661</v>
          </cell>
          <cell r="Q75">
            <v>99.986666666666665</v>
          </cell>
          <cell r="R75">
            <v>99.439666666666653</v>
          </cell>
        </row>
        <row r="76">
          <cell r="F76">
            <v>22.573723570278119</v>
          </cell>
          <cell r="G76">
            <v>17.750614122545088</v>
          </cell>
          <cell r="H76">
            <v>17.332386179034476</v>
          </cell>
          <cell r="I76">
            <v>19.860068907442709</v>
          </cell>
          <cell r="J76">
            <v>20.617062359391543</v>
          </cell>
          <cell r="K76">
            <v>25.107321923180972</v>
          </cell>
          <cell r="L76">
            <v>28.930250148299944</v>
          </cell>
          <cell r="M76">
            <v>30.960882562962812</v>
          </cell>
          <cell r="N76">
            <v>23.98</v>
          </cell>
          <cell r="O76">
            <v>37.239000000000004</v>
          </cell>
          <cell r="P76">
            <v>30.231999999999999</v>
          </cell>
          <cell r="Q76">
            <v>34.635666666666665</v>
          </cell>
          <cell r="R76">
            <v>36.408666666666669</v>
          </cell>
        </row>
        <row r="78">
          <cell r="A78" t="str">
            <v>Total Valuation (Billion Dollars)</v>
          </cell>
          <cell r="F78">
            <v>24.081786334168189</v>
          </cell>
          <cell r="G78">
            <v>24.597310073152659</v>
          </cell>
          <cell r="H78">
            <v>25.306170287631126</v>
          </cell>
          <cell r="I78">
            <v>25.481062397916478</v>
          </cell>
          <cell r="J78">
            <v>28.874751115472023</v>
          </cell>
          <cell r="K78">
            <v>29.661874051022561</v>
          </cell>
          <cell r="L78">
            <v>31.491651027680273</v>
          </cell>
          <cell r="M78">
            <v>33.947641517986952</v>
          </cell>
          <cell r="N78">
            <v>32.721227999999996</v>
          </cell>
          <cell r="O78">
            <v>36.076092000000003</v>
          </cell>
          <cell r="P78">
            <v>39.097540000000002</v>
          </cell>
          <cell r="Q78">
            <v>39.436548000000002</v>
          </cell>
          <cell r="R78">
            <v>41.063648000000001</v>
          </cell>
          <cell r="S78">
            <v>42.573332000000008</v>
          </cell>
          <cell r="T78">
            <v>41.641239999999996</v>
          </cell>
          <cell r="U78">
            <v>43.951208000000001</v>
          </cell>
          <cell r="V78">
            <v>45.250023999999996</v>
          </cell>
          <cell r="W78">
            <v>45.920563999999999</v>
          </cell>
          <cell r="X78">
            <v>46.902336000000005</v>
          </cell>
          <cell r="Y78">
            <v>48.924892</v>
          </cell>
          <cell r="Z78">
            <v>51.996200000000002</v>
          </cell>
          <cell r="AA78">
            <v>45.668939999999999</v>
          </cell>
          <cell r="AB78">
            <v>42.924556000000003</v>
          </cell>
          <cell r="AC78">
            <v>42.336959999999998</v>
          </cell>
          <cell r="AD78">
            <v>44.701043999999996</v>
          </cell>
          <cell r="AE78">
            <v>46.676615999999996</v>
          </cell>
          <cell r="AF78">
            <v>49.248456000000004</v>
          </cell>
          <cell r="AG78">
            <v>50.785547999999999</v>
          </cell>
          <cell r="AH78">
            <v>54.036983999999997</v>
          </cell>
          <cell r="AI78">
            <v>50.806432000000001</v>
          </cell>
          <cell r="AJ78">
            <v>53.488536000000003</v>
          </cell>
          <cell r="AK78">
            <v>53.850076000000001</v>
          </cell>
          <cell r="AL78">
            <v>59.154195999999999</v>
          </cell>
          <cell r="AM78">
            <v>60.068900000000006</v>
          </cell>
          <cell r="AN78">
            <v>61.224744000000001</v>
          </cell>
          <cell r="AO78">
            <v>58.678229999999999</v>
          </cell>
          <cell r="AP78">
            <v>56.613060000000004</v>
          </cell>
          <cell r="AQ78">
            <v>55.623379999999997</v>
          </cell>
          <cell r="AR78">
            <v>55.413579999999996</v>
          </cell>
          <cell r="AS78">
            <v>55.553510000000003</v>
          </cell>
          <cell r="AT78">
            <v>55.65119</v>
          </cell>
          <cell r="AU78">
            <v>56.109610000000004</v>
          </cell>
          <cell r="AV78">
            <v>56.283029999999997</v>
          </cell>
          <cell r="AW78">
            <v>56.651709999999994</v>
          </cell>
          <cell r="AX78">
            <v>56.945599999999999</v>
          </cell>
          <cell r="AY78">
            <v>57.268659999999997</v>
          </cell>
          <cell r="AZ78">
            <v>57.059660000000001</v>
          </cell>
          <cell r="BA78">
            <v>56.864039999999996</v>
          </cell>
        </row>
        <row r="79">
          <cell r="B79" t="str">
            <v>Residential</v>
          </cell>
          <cell r="F79">
            <v>14.961438294579974</v>
          </cell>
          <cell r="G79">
            <v>15.343154318282235</v>
          </cell>
          <cell r="H79">
            <v>15.482857213016674</v>
          </cell>
          <cell r="I79">
            <v>15.168155498438102</v>
          </cell>
          <cell r="J79">
            <v>17.393488487646664</v>
          </cell>
          <cell r="K79">
            <v>17.622282656641381</v>
          </cell>
          <cell r="L79">
            <v>19.339995269251137</v>
          </cell>
          <cell r="M79">
            <v>20.619229128788461</v>
          </cell>
          <cell r="N79">
            <v>19.395776000000001</v>
          </cell>
          <cell r="O79">
            <v>20.825279999999999</v>
          </cell>
          <cell r="P79">
            <v>23.165480000000002</v>
          </cell>
          <cell r="Q79">
            <v>24.36092</v>
          </cell>
          <cell r="R79">
            <v>24.710312000000002</v>
          </cell>
          <cell r="S79">
            <v>26.880880000000005</v>
          </cell>
          <cell r="T79">
            <v>25.398031999999997</v>
          </cell>
          <cell r="U79">
            <v>25.862812000000002</v>
          </cell>
          <cell r="V79">
            <v>27.531503999999998</v>
          </cell>
          <cell r="W79">
            <v>28.289987999999997</v>
          </cell>
          <cell r="X79">
            <v>27.406832000000001</v>
          </cell>
          <cell r="Y79">
            <v>29.462588</v>
          </cell>
          <cell r="Z79">
            <v>31.649756</v>
          </cell>
          <cell r="AA79">
            <v>28.8367</v>
          </cell>
          <cell r="AB79">
            <v>27.129340000000003</v>
          </cell>
          <cell r="AC79">
            <v>28.102487999999997</v>
          </cell>
          <cell r="AD79">
            <v>30.253195999999996</v>
          </cell>
          <cell r="AE79">
            <v>32.309072</v>
          </cell>
          <cell r="AF79">
            <v>34.872184000000004</v>
          </cell>
          <cell r="AG79">
            <v>35.763171999999997</v>
          </cell>
          <cell r="AH79">
            <v>40.039423999999997</v>
          </cell>
          <cell r="AI79">
            <v>37.159039999999997</v>
          </cell>
          <cell r="AJ79">
            <v>38.877684000000002</v>
          </cell>
          <cell r="AK79">
            <v>40.342312</v>
          </cell>
          <cell r="AL79">
            <v>44.364427999999997</v>
          </cell>
          <cell r="AM79">
            <v>44.016304000000005</v>
          </cell>
          <cell r="AN79">
            <v>45.289528000000004</v>
          </cell>
          <cell r="AO79">
            <v>44.567970000000003</v>
          </cell>
          <cell r="AP79">
            <v>43.162640000000003</v>
          </cell>
          <cell r="AQ79">
            <v>42.406559999999999</v>
          </cell>
          <cell r="AR79">
            <v>42.154949999999999</v>
          </cell>
          <cell r="AS79">
            <v>42.125920000000001</v>
          </cell>
          <cell r="AT79">
            <v>42.05274</v>
          </cell>
          <cell r="AU79">
            <v>42.342770000000002</v>
          </cell>
          <cell r="AV79">
            <v>42.32405</v>
          </cell>
          <cell r="AW79">
            <v>42.556109999999997</v>
          </cell>
          <cell r="AX79">
            <v>42.842370000000003</v>
          </cell>
          <cell r="AY79">
            <v>43.212339999999998</v>
          </cell>
          <cell r="AZ79">
            <v>43.066830000000003</v>
          </cell>
          <cell r="BA79">
            <v>42.951479999999997</v>
          </cell>
        </row>
        <row r="80">
          <cell r="F80">
            <v>9.1203480395882153</v>
          </cell>
          <cell r="G80">
            <v>9.2541557548704247</v>
          </cell>
          <cell r="H80">
            <v>9.8233130746144504</v>
          </cell>
          <cell r="I80">
            <v>10.312906899478376</v>
          </cell>
          <cell r="J80">
            <v>11.481262627825359</v>
          </cell>
          <cell r="K80">
            <v>12.03959139438118</v>
          </cell>
          <cell r="L80">
            <v>12.151655758429136</v>
          </cell>
          <cell r="M80">
            <v>13.328412389198489</v>
          </cell>
          <cell r="N80">
            <v>13.325451999999999</v>
          </cell>
          <cell r="O80">
            <v>15.250812</v>
          </cell>
          <cell r="P80">
            <v>15.932060000000002</v>
          </cell>
          <cell r="Q80">
            <v>15.075627999999998</v>
          </cell>
          <cell r="R80">
            <v>16.353335999999999</v>
          </cell>
        </row>
        <row r="82">
          <cell r="F82">
            <v>1996</v>
          </cell>
          <cell r="J82">
            <v>1997</v>
          </cell>
          <cell r="N82">
            <v>1998</v>
          </cell>
          <cell r="R82">
            <v>1999</v>
          </cell>
        </row>
        <row r="83">
          <cell r="F83" t="str">
            <v>I</v>
          </cell>
          <cell r="G83" t="str">
            <v>II</v>
          </cell>
          <cell r="H83" t="str">
            <v>III</v>
          </cell>
          <cell r="I83" t="str">
            <v>IV</v>
          </cell>
          <cell r="J83" t="str">
            <v>I</v>
          </cell>
          <cell r="K83" t="str">
            <v>II</v>
          </cell>
          <cell r="L83" t="str">
            <v>III</v>
          </cell>
          <cell r="M83" t="str">
            <v>IV</v>
          </cell>
          <cell r="N83" t="str">
            <v>I</v>
          </cell>
          <cell r="O83" t="str">
            <v>II</v>
          </cell>
          <cell r="P83" t="str">
            <v>III</v>
          </cell>
          <cell r="Q83" t="str">
            <v>IV</v>
          </cell>
          <cell r="R83" t="str">
            <v>I</v>
          </cell>
        </row>
        <row r="84">
          <cell r="F84">
            <v>435.38443035107275</v>
          </cell>
          <cell r="G84">
            <v>436.3343657628842</v>
          </cell>
          <cell r="H84">
            <v>437.45359811568909</v>
          </cell>
          <cell r="I84">
            <v>449.59850577035388</v>
          </cell>
          <cell r="J84">
            <v>460.30850093828946</v>
          </cell>
          <cell r="K84">
            <v>467.78817928585761</v>
          </cell>
          <cell r="L84">
            <v>478.80818322184092</v>
          </cell>
          <cell r="M84">
            <v>490.52430855401195</v>
          </cell>
          <cell r="N84">
            <v>498.71173826692473</v>
          </cell>
          <cell r="O84">
            <v>508.77324430951768</v>
          </cell>
          <cell r="P84">
            <v>519.24857839117658</v>
          </cell>
          <cell r="Q84">
            <v>540.33257903238109</v>
          </cell>
          <cell r="R84">
            <v>532.42836821778837</v>
          </cell>
        </row>
        <row r="87">
          <cell r="F87">
            <v>1996</v>
          </cell>
          <cell r="J87">
            <v>1997</v>
          </cell>
        </row>
        <row r="88">
          <cell r="F88" t="str">
            <v>I</v>
          </cell>
          <cell r="G88" t="str">
            <v>II</v>
          </cell>
          <cell r="H88" t="str">
            <v>III</v>
          </cell>
          <cell r="I88" t="str">
            <v>IV</v>
          </cell>
          <cell r="J88" t="str">
            <v>I</v>
          </cell>
          <cell r="K88" t="str">
            <v>II</v>
          </cell>
          <cell r="L88" t="str">
            <v>III</v>
          </cell>
          <cell r="M88" t="str">
            <v>IV</v>
          </cell>
        </row>
        <row r="89">
          <cell r="F89">
            <v>35288.450237158359</v>
          </cell>
          <cell r="G89">
            <v>35247.02210760989</v>
          </cell>
          <cell r="H89">
            <v>35135.04256873222</v>
          </cell>
          <cell r="I89">
            <v>35777.764506045583</v>
          </cell>
          <cell r="J89">
            <v>36445.914976379296</v>
          </cell>
          <cell r="K89">
            <v>36622.070478660047</v>
          </cell>
          <cell r="L89">
            <v>37202.274722368653</v>
          </cell>
          <cell r="M89">
            <v>37785.20422884632</v>
          </cell>
        </row>
        <row r="90">
          <cell r="J90">
            <v>3.2800101207112187E-2</v>
          </cell>
          <cell r="K90">
            <v>3.901176010989249E-2</v>
          </cell>
          <cell r="L90">
            <v>5.8836762459941516E-2</v>
          </cell>
          <cell r="M90">
            <v>5.6108584494191316E-2</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aw Data"/>
      <sheetName val="Summary"/>
      <sheetName val="Budget Request Details"/>
      <sheetName val="Workload Measures"/>
      <sheetName val="Program Budget Measures"/>
      <sheetName val="Position Change Request"/>
      <sheetName val="Position Summary PY"/>
      <sheetName val="Position Summary CY"/>
      <sheetName val="Position Summary BY0-4"/>
      <sheetName val="Request By Category PY"/>
      <sheetName val="Request By Category CY"/>
      <sheetName val="Request By Category BY0-4"/>
      <sheetName val="Non Add  By Category PY"/>
      <sheetName val="Non Add  By Category CY"/>
      <sheetName val="Non Add By Category BY0-4"/>
      <sheetName val="Budgetary Exp PY"/>
      <sheetName val="Budgetary Exp CY"/>
      <sheetName val="Budgetary Exp BY"/>
      <sheetName val="NonAdd Budgetary Exp PY"/>
      <sheetName val="NonAdd Budgetary Exp CY"/>
      <sheetName val="NonAdd Budgetary Exp BY"/>
      <sheetName val="Reimbursements PY"/>
      <sheetName val="Reimbursements CY"/>
      <sheetName val="Reimbursements BY0-4"/>
      <sheetName val="Revenue PY"/>
      <sheetName val="Revenue CY "/>
      <sheetName val="Revenue BY0-4"/>
      <sheetName val="Revenue Transfer"/>
      <sheetName val="Loans"/>
      <sheetName val="Loan Repayments"/>
      <sheetName val="Dimension Lookup"/>
      <sheetName val="Smartlist Lookup"/>
      <sheetName val="Change Log"/>
      <sheetName val="Sheet1"/>
      <sheetName val="BCP Upload Template Bl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Enrollment"/>
      <sheetName val="Enrollment CFs"/>
      <sheetName val="May2016_Child"/>
      <sheetName val="May2016_Adult"/>
      <sheetName val="Apr2016_Adult"/>
      <sheetName val="Apr2016_Child"/>
      <sheetName val="Mar2016_Child"/>
      <sheetName val="Mar2016_Adult"/>
      <sheetName val="Feb2016_Child"/>
      <sheetName val="Feb2016_Adult"/>
      <sheetName val="Jan2016_Child"/>
      <sheetName val="Jan2016_Adult"/>
      <sheetName val="Dec2015_Child"/>
      <sheetName val="Dec2015_Adult"/>
      <sheetName val="Nov2015_Child"/>
      <sheetName val="Nov2015_Adult"/>
      <sheetName val="Oct2015_Child"/>
      <sheetName val="Oct2015_Adult"/>
      <sheetName val="Sep2015_Child"/>
      <sheetName val="Sep2015_Adult"/>
      <sheetName val="Aug2015_Child"/>
      <sheetName val="Aug2015_Adult"/>
      <sheetName val="Jul2015_Child"/>
      <sheetName val="Jul2015_Adult"/>
      <sheetName val="Jun2015_Child"/>
      <sheetName val="Jun2015_Adult"/>
      <sheetName val="May2015_Child"/>
      <sheetName val="May2015_Adult"/>
      <sheetName val="Apr2015_Child"/>
      <sheetName val="Apr2015_Adult"/>
      <sheetName val="Mar2015_Child"/>
      <sheetName val="Mar2015_Adult"/>
      <sheetName val="Feb2015_Child"/>
      <sheetName val="Feb2015_Adult"/>
      <sheetName val="Jan2015_Child"/>
      <sheetName val="Jan2015_Adult"/>
      <sheetName val="Sheet2"/>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C5" t="str">
            <v>0A</v>
          </cell>
          <cell r="D5" t="str">
            <v>Refugees</v>
          </cell>
        </row>
        <row r="6">
          <cell r="C6">
            <v>1</v>
          </cell>
          <cell r="D6" t="str">
            <v>Refugees</v>
          </cell>
        </row>
        <row r="7">
          <cell r="C7">
            <v>2</v>
          </cell>
          <cell r="D7" t="str">
            <v>Refugees</v>
          </cell>
        </row>
        <row r="8">
          <cell r="C8">
            <v>8</v>
          </cell>
          <cell r="D8" t="str">
            <v>Refugees</v>
          </cell>
        </row>
        <row r="9">
          <cell r="C9">
            <v>13</v>
          </cell>
          <cell r="D9" t="str">
            <v>LTC</v>
          </cell>
        </row>
        <row r="10">
          <cell r="C10">
            <v>23</v>
          </cell>
          <cell r="D10" t="str">
            <v>LTC</v>
          </cell>
        </row>
        <row r="11">
          <cell r="C11">
            <v>63</v>
          </cell>
          <cell r="D11" t="str">
            <v>LTC</v>
          </cell>
        </row>
        <row r="12">
          <cell r="C12" t="str">
            <v>5C</v>
          </cell>
          <cell r="D12" t="str">
            <v>HFP</v>
          </cell>
        </row>
        <row r="13">
          <cell r="C13" t="str">
            <v>5D</v>
          </cell>
          <cell r="D13" t="str">
            <v>HFP</v>
          </cell>
        </row>
        <row r="14">
          <cell r="C14" t="str">
            <v>H1</v>
          </cell>
          <cell r="D14" t="str">
            <v>HFP</v>
          </cell>
        </row>
        <row r="15">
          <cell r="C15" t="str">
            <v>H2</v>
          </cell>
          <cell r="D15" t="str">
            <v>HFP</v>
          </cell>
        </row>
        <row r="16">
          <cell r="C16" t="str">
            <v>H3</v>
          </cell>
          <cell r="D16" t="str">
            <v>HFP</v>
          </cell>
        </row>
        <row r="17">
          <cell r="C17" t="str">
            <v>H4</v>
          </cell>
          <cell r="D17" t="str">
            <v>HFP</v>
          </cell>
        </row>
        <row r="18">
          <cell r="C18" t="str">
            <v>H5</v>
          </cell>
          <cell r="D18" t="str">
            <v>HFP</v>
          </cell>
        </row>
        <row r="19">
          <cell r="C19" t="str">
            <v>E7</v>
          </cell>
          <cell r="D19" t="str">
            <v>HFP</v>
          </cell>
        </row>
        <row r="20">
          <cell r="C20" t="str">
            <v>M5</v>
          </cell>
          <cell r="D20" t="str">
            <v>HFP</v>
          </cell>
        </row>
        <row r="21">
          <cell r="C21" t="str">
            <v>T1</v>
          </cell>
          <cell r="D21" t="str">
            <v>HFP</v>
          </cell>
        </row>
        <row r="22">
          <cell r="C22" t="str">
            <v>T2</v>
          </cell>
          <cell r="D22" t="str">
            <v>HFP</v>
          </cell>
        </row>
        <row r="23">
          <cell r="C23" t="str">
            <v>T3</v>
          </cell>
          <cell r="D23" t="str">
            <v>HFP</v>
          </cell>
        </row>
        <row r="24">
          <cell r="C24" t="str">
            <v>T4</v>
          </cell>
          <cell r="D24" t="str">
            <v>HFP</v>
          </cell>
        </row>
        <row r="25">
          <cell r="C25" t="str">
            <v>T5</v>
          </cell>
          <cell r="D25" t="str">
            <v>HFP</v>
          </cell>
        </row>
        <row r="26">
          <cell r="C26" t="str">
            <v>7U</v>
          </cell>
          <cell r="D26" t="str">
            <v>ACA</v>
          </cell>
        </row>
        <row r="27">
          <cell r="C27" t="str">
            <v>L1</v>
          </cell>
          <cell r="D27" t="str">
            <v>ACA</v>
          </cell>
        </row>
        <row r="28">
          <cell r="C28" t="str">
            <v>M1</v>
          </cell>
          <cell r="D28" t="str">
            <v>ACA</v>
          </cell>
        </row>
        <row r="29">
          <cell r="C29" t="str">
            <v>E6</v>
          </cell>
          <cell r="D29" t="str">
            <v>All Other</v>
          </cell>
        </row>
        <row r="30">
          <cell r="C30" t="str">
            <v>H6</v>
          </cell>
          <cell r="D30" t="str">
            <v>All Other</v>
          </cell>
        </row>
        <row r="31">
          <cell r="C31" t="str">
            <v>H7</v>
          </cell>
          <cell r="D31" t="str">
            <v>All Other</v>
          </cell>
        </row>
        <row r="32">
          <cell r="C32" t="str">
            <v>H8</v>
          </cell>
          <cell r="D32" t="str">
            <v>All Other</v>
          </cell>
        </row>
        <row r="33">
          <cell r="C33" t="str">
            <v>H9</v>
          </cell>
          <cell r="D33" t="str">
            <v>All Other</v>
          </cell>
        </row>
        <row r="34">
          <cell r="C34" t="str">
            <v>H0</v>
          </cell>
          <cell r="D34" t="str">
            <v>All Other</v>
          </cell>
        </row>
        <row r="35">
          <cell r="C35" t="str">
            <v>K1</v>
          </cell>
          <cell r="D35" t="str">
            <v>All Other</v>
          </cell>
        </row>
        <row r="36">
          <cell r="C36" t="str">
            <v>M3</v>
          </cell>
          <cell r="D36" t="str">
            <v>All Other</v>
          </cell>
        </row>
        <row r="37">
          <cell r="C37" t="str">
            <v>M7</v>
          </cell>
          <cell r="D37" t="str">
            <v>All Other</v>
          </cell>
        </row>
        <row r="38">
          <cell r="C38" t="str">
            <v>P1</v>
          </cell>
          <cell r="D38" t="str">
            <v>All Other</v>
          </cell>
        </row>
        <row r="39">
          <cell r="C39" t="str">
            <v>P2</v>
          </cell>
          <cell r="D39" t="str">
            <v>All Other</v>
          </cell>
        </row>
        <row r="40">
          <cell r="C40" t="str">
            <v>P3</v>
          </cell>
          <cell r="D40" t="str">
            <v>All Other</v>
          </cell>
        </row>
        <row r="41">
          <cell r="C41" t="str">
            <v>P5</v>
          </cell>
          <cell r="D41" t="str">
            <v>All Other</v>
          </cell>
        </row>
        <row r="42">
          <cell r="C42" t="str">
            <v>P7</v>
          </cell>
          <cell r="D42" t="str">
            <v>All Other</v>
          </cell>
        </row>
        <row r="43">
          <cell r="C43" t="str">
            <v>P9</v>
          </cell>
          <cell r="D43" t="str">
            <v>All Other</v>
          </cell>
        </row>
        <row r="44">
          <cell r="C44" t="str">
            <v>0L</v>
          </cell>
          <cell r="D44" t="str">
            <v>All Other</v>
          </cell>
        </row>
        <row r="45">
          <cell r="C45" t="str">
            <v>0M</v>
          </cell>
          <cell r="D45" t="str">
            <v>All Other</v>
          </cell>
        </row>
        <row r="46">
          <cell r="C46" t="str">
            <v>0N</v>
          </cell>
          <cell r="D46" t="str">
            <v>All Other</v>
          </cell>
        </row>
        <row r="47">
          <cell r="C47" t="str">
            <v>0P</v>
          </cell>
          <cell r="D47" t="str">
            <v>All Other</v>
          </cell>
        </row>
        <row r="48">
          <cell r="C48" t="str">
            <v>0R</v>
          </cell>
          <cell r="D48" t="str">
            <v>All Other</v>
          </cell>
        </row>
        <row r="49">
          <cell r="C49" t="str">
            <v>0T</v>
          </cell>
          <cell r="D49" t="str">
            <v>All Other</v>
          </cell>
        </row>
        <row r="50">
          <cell r="C50" t="str">
            <v>0U</v>
          </cell>
          <cell r="D50" t="str">
            <v>All Other</v>
          </cell>
        </row>
        <row r="51">
          <cell r="C51" t="str">
            <v>0V</v>
          </cell>
          <cell r="D51" t="str">
            <v>All Other</v>
          </cell>
        </row>
        <row r="52">
          <cell r="C52" t="str">
            <v>0W</v>
          </cell>
          <cell r="D52" t="str">
            <v>All Other</v>
          </cell>
        </row>
        <row r="53">
          <cell r="C53" t="str">
            <v>0X</v>
          </cell>
          <cell r="D53" t="str">
            <v>All Other</v>
          </cell>
        </row>
        <row r="54">
          <cell r="C54" t="str">
            <v>0Y</v>
          </cell>
          <cell r="D54" t="str">
            <v>All Other</v>
          </cell>
        </row>
        <row r="55">
          <cell r="C55">
            <v>3</v>
          </cell>
          <cell r="D55" t="str">
            <v>All Other</v>
          </cell>
        </row>
        <row r="56">
          <cell r="C56">
            <v>4</v>
          </cell>
          <cell r="D56" t="str">
            <v>All Other</v>
          </cell>
        </row>
        <row r="57">
          <cell r="C57">
            <v>6</v>
          </cell>
          <cell r="D57" t="str">
            <v>All Other</v>
          </cell>
        </row>
        <row r="58">
          <cell r="C58">
            <v>7</v>
          </cell>
          <cell r="D58" t="str">
            <v>All Other</v>
          </cell>
        </row>
        <row r="59">
          <cell r="C59" t="str">
            <v>1E</v>
          </cell>
          <cell r="D59" t="str">
            <v>All Other</v>
          </cell>
        </row>
        <row r="60">
          <cell r="C60" t="str">
            <v>1H</v>
          </cell>
          <cell r="D60" t="str">
            <v>All Other</v>
          </cell>
        </row>
        <row r="61">
          <cell r="C61" t="str">
            <v>1U</v>
          </cell>
          <cell r="D61" t="str">
            <v>All Other</v>
          </cell>
        </row>
        <row r="62">
          <cell r="C62" t="str">
            <v>1X</v>
          </cell>
          <cell r="D62" t="str">
            <v>All Other</v>
          </cell>
        </row>
        <row r="63">
          <cell r="C63" t="str">
            <v>1Y</v>
          </cell>
          <cell r="D63" t="str">
            <v>All Other</v>
          </cell>
        </row>
        <row r="64">
          <cell r="C64">
            <v>10</v>
          </cell>
          <cell r="D64" t="str">
            <v>All Other</v>
          </cell>
        </row>
        <row r="65">
          <cell r="C65">
            <v>14</v>
          </cell>
          <cell r="D65" t="str">
            <v>All Other</v>
          </cell>
        </row>
        <row r="66">
          <cell r="C66">
            <v>16</v>
          </cell>
          <cell r="D66" t="str">
            <v>All Other</v>
          </cell>
        </row>
        <row r="67">
          <cell r="C67">
            <v>17</v>
          </cell>
          <cell r="D67" t="str">
            <v>All Other</v>
          </cell>
        </row>
        <row r="68">
          <cell r="C68" t="str">
            <v>2A</v>
          </cell>
          <cell r="D68" t="str">
            <v>All Other</v>
          </cell>
        </row>
        <row r="69">
          <cell r="C69" t="str">
            <v>2E</v>
          </cell>
          <cell r="D69" t="str">
            <v>All Other</v>
          </cell>
        </row>
        <row r="70">
          <cell r="C70" t="str">
            <v>2H</v>
          </cell>
          <cell r="D70" t="str">
            <v>All Other</v>
          </cell>
        </row>
        <row r="71">
          <cell r="C71">
            <v>20</v>
          </cell>
          <cell r="D71" t="str">
            <v>All Other</v>
          </cell>
        </row>
        <row r="72">
          <cell r="C72">
            <v>24</v>
          </cell>
          <cell r="D72" t="str">
            <v>All Other</v>
          </cell>
        </row>
        <row r="73">
          <cell r="C73">
            <v>26</v>
          </cell>
          <cell r="D73" t="str">
            <v>All Other</v>
          </cell>
        </row>
        <row r="74">
          <cell r="C74">
            <v>27</v>
          </cell>
          <cell r="D74" t="str">
            <v>All Other</v>
          </cell>
        </row>
        <row r="75">
          <cell r="C75" t="str">
            <v>3A</v>
          </cell>
          <cell r="D75" t="str">
            <v>All Other</v>
          </cell>
        </row>
        <row r="76">
          <cell r="C76" t="str">
            <v>3C</v>
          </cell>
          <cell r="D76" t="str">
            <v>All Other</v>
          </cell>
        </row>
        <row r="77">
          <cell r="C77" t="str">
            <v>3D</v>
          </cell>
          <cell r="D77" t="str">
            <v>All Other</v>
          </cell>
        </row>
        <row r="78">
          <cell r="C78" t="str">
            <v>3E</v>
          </cell>
          <cell r="D78" t="str">
            <v>All Other</v>
          </cell>
        </row>
        <row r="79">
          <cell r="C79" t="str">
            <v>3F</v>
          </cell>
          <cell r="D79" t="str">
            <v>All Other</v>
          </cell>
        </row>
        <row r="80">
          <cell r="C80" t="str">
            <v>3G</v>
          </cell>
          <cell r="D80" t="str">
            <v>All Other</v>
          </cell>
        </row>
        <row r="81">
          <cell r="C81" t="str">
            <v>3H</v>
          </cell>
          <cell r="D81" t="str">
            <v>All Other</v>
          </cell>
        </row>
        <row r="82">
          <cell r="C82" t="str">
            <v>3L</v>
          </cell>
          <cell r="D82" t="str">
            <v>All Other</v>
          </cell>
        </row>
        <row r="83">
          <cell r="C83" t="str">
            <v>3M</v>
          </cell>
          <cell r="D83" t="str">
            <v>All Other</v>
          </cell>
        </row>
        <row r="84">
          <cell r="C84" t="str">
            <v>3N</v>
          </cell>
          <cell r="D84" t="str">
            <v>All Other</v>
          </cell>
        </row>
        <row r="85">
          <cell r="C85" t="str">
            <v>3P</v>
          </cell>
          <cell r="D85" t="str">
            <v>All Other</v>
          </cell>
        </row>
        <row r="86">
          <cell r="C86" t="str">
            <v>3R</v>
          </cell>
          <cell r="D86" t="str">
            <v>All Other</v>
          </cell>
        </row>
        <row r="87">
          <cell r="C87" t="str">
            <v>3T</v>
          </cell>
          <cell r="D87" t="str">
            <v>All Other</v>
          </cell>
        </row>
        <row r="88">
          <cell r="C88" t="str">
            <v>3U</v>
          </cell>
          <cell r="D88" t="str">
            <v>All Other</v>
          </cell>
        </row>
        <row r="89">
          <cell r="C89" t="str">
            <v>3V</v>
          </cell>
          <cell r="D89" t="str">
            <v>All Other</v>
          </cell>
        </row>
        <row r="90">
          <cell r="C90" t="str">
            <v>3W</v>
          </cell>
          <cell r="D90" t="str">
            <v>All Other</v>
          </cell>
        </row>
        <row r="91">
          <cell r="C91">
            <v>30</v>
          </cell>
          <cell r="D91" t="str">
            <v>All Other</v>
          </cell>
        </row>
        <row r="92">
          <cell r="C92">
            <v>32</v>
          </cell>
          <cell r="D92" t="str">
            <v>All Other</v>
          </cell>
        </row>
        <row r="93">
          <cell r="C93">
            <v>33</v>
          </cell>
          <cell r="D93" t="str">
            <v>All Other</v>
          </cell>
        </row>
        <row r="94">
          <cell r="C94">
            <v>34</v>
          </cell>
          <cell r="D94" t="str">
            <v>All Other</v>
          </cell>
        </row>
        <row r="95">
          <cell r="C95">
            <v>35</v>
          </cell>
          <cell r="D95" t="str">
            <v>All Other</v>
          </cell>
        </row>
        <row r="96">
          <cell r="C96">
            <v>36</v>
          </cell>
          <cell r="D96" t="str">
            <v>All Other</v>
          </cell>
        </row>
        <row r="97">
          <cell r="C97">
            <v>37</v>
          </cell>
          <cell r="D97" t="str">
            <v>All Other</v>
          </cell>
        </row>
        <row r="98">
          <cell r="C98">
            <v>38</v>
          </cell>
          <cell r="D98" t="str">
            <v>All Other</v>
          </cell>
        </row>
        <row r="99">
          <cell r="C99">
            <v>39</v>
          </cell>
          <cell r="D99" t="str">
            <v>All Other</v>
          </cell>
        </row>
        <row r="100">
          <cell r="C100" t="str">
            <v>4A</v>
          </cell>
          <cell r="D100" t="str">
            <v>All Other</v>
          </cell>
        </row>
        <row r="101">
          <cell r="C101" t="str">
            <v>4E</v>
          </cell>
          <cell r="D101" t="str">
            <v>All Other</v>
          </cell>
        </row>
        <row r="102">
          <cell r="C102" t="str">
            <v>4F</v>
          </cell>
          <cell r="D102" t="str">
            <v>All Other</v>
          </cell>
        </row>
        <row r="103">
          <cell r="C103" t="str">
            <v>4G</v>
          </cell>
          <cell r="D103" t="str">
            <v>All Other</v>
          </cell>
        </row>
        <row r="104">
          <cell r="C104" t="str">
            <v>4K</v>
          </cell>
          <cell r="D104" t="str">
            <v>All Other</v>
          </cell>
        </row>
        <row r="105">
          <cell r="C105" t="str">
            <v>4L</v>
          </cell>
          <cell r="D105" t="str">
            <v>All Other</v>
          </cell>
        </row>
        <row r="106">
          <cell r="C106" t="str">
            <v>4M</v>
          </cell>
          <cell r="D106" t="str">
            <v>All Other</v>
          </cell>
        </row>
        <row r="107">
          <cell r="C107" t="str">
            <v>4N</v>
          </cell>
          <cell r="D107" t="str">
            <v>All Other</v>
          </cell>
        </row>
        <row r="108">
          <cell r="C108" t="str">
            <v>4S</v>
          </cell>
          <cell r="D108" t="str">
            <v>All Other</v>
          </cell>
        </row>
        <row r="109">
          <cell r="C109" t="str">
            <v>4T</v>
          </cell>
          <cell r="D109" t="str">
            <v>All Other</v>
          </cell>
        </row>
        <row r="110">
          <cell r="C110" t="str">
            <v>4W</v>
          </cell>
          <cell r="D110" t="str">
            <v>All Other</v>
          </cell>
        </row>
        <row r="111">
          <cell r="C111">
            <v>40</v>
          </cell>
          <cell r="D111" t="str">
            <v>All Other</v>
          </cell>
        </row>
        <row r="112">
          <cell r="C112">
            <v>42</v>
          </cell>
          <cell r="D112" t="str">
            <v>All Other</v>
          </cell>
        </row>
        <row r="113">
          <cell r="C113">
            <v>43</v>
          </cell>
          <cell r="D113" t="str">
            <v>All Other</v>
          </cell>
        </row>
        <row r="114">
          <cell r="C114">
            <v>45</v>
          </cell>
          <cell r="D114" t="str">
            <v>All Other</v>
          </cell>
        </row>
        <row r="115">
          <cell r="C115" t="str">
            <v>5E</v>
          </cell>
          <cell r="D115" t="str">
            <v>All Other</v>
          </cell>
        </row>
        <row r="116">
          <cell r="C116" t="str">
            <v>5J</v>
          </cell>
          <cell r="D116" t="str">
            <v>All Other</v>
          </cell>
        </row>
        <row r="117">
          <cell r="C117" t="str">
            <v>5K</v>
          </cell>
          <cell r="D117" t="str">
            <v>All Other</v>
          </cell>
        </row>
        <row r="118">
          <cell r="C118" t="str">
            <v>5R</v>
          </cell>
          <cell r="D118" t="str">
            <v>All Other</v>
          </cell>
        </row>
        <row r="119">
          <cell r="C119" t="str">
            <v>5T</v>
          </cell>
          <cell r="D119" t="str">
            <v>All Other</v>
          </cell>
        </row>
        <row r="120">
          <cell r="C120" t="str">
            <v>5W</v>
          </cell>
          <cell r="D120" t="str">
            <v>All Other</v>
          </cell>
        </row>
        <row r="121">
          <cell r="C121" t="str">
            <v>5X</v>
          </cell>
          <cell r="D121" t="str">
            <v>All Other</v>
          </cell>
        </row>
        <row r="122">
          <cell r="C122" t="str">
            <v>5Y</v>
          </cell>
          <cell r="D122" t="str">
            <v>All Other</v>
          </cell>
        </row>
        <row r="123">
          <cell r="C123">
            <v>53</v>
          </cell>
          <cell r="D123" t="str">
            <v>All Other</v>
          </cell>
        </row>
        <row r="124">
          <cell r="C124">
            <v>54</v>
          </cell>
          <cell r="D124" t="str">
            <v>All Other</v>
          </cell>
        </row>
        <row r="125">
          <cell r="C125">
            <v>59</v>
          </cell>
          <cell r="D125" t="str">
            <v>All Other</v>
          </cell>
        </row>
        <row r="126">
          <cell r="C126" t="str">
            <v>6A</v>
          </cell>
          <cell r="D126" t="str">
            <v>All Other</v>
          </cell>
        </row>
        <row r="127">
          <cell r="C127" t="str">
            <v>6C</v>
          </cell>
          <cell r="D127" t="str">
            <v>All Other</v>
          </cell>
        </row>
        <row r="128">
          <cell r="C128" t="str">
            <v>6E</v>
          </cell>
          <cell r="D128" t="str">
            <v>All Other</v>
          </cell>
        </row>
        <row r="129">
          <cell r="C129" t="str">
            <v>6G</v>
          </cell>
          <cell r="D129" t="str">
            <v>All Other</v>
          </cell>
        </row>
        <row r="130">
          <cell r="C130" t="str">
            <v>6H</v>
          </cell>
          <cell r="D130" t="str">
            <v>All Other</v>
          </cell>
        </row>
        <row r="131">
          <cell r="C131" t="str">
            <v>6J</v>
          </cell>
          <cell r="D131" t="str">
            <v>All Other</v>
          </cell>
        </row>
        <row r="132">
          <cell r="C132" t="str">
            <v>6N</v>
          </cell>
          <cell r="D132" t="str">
            <v>All Other</v>
          </cell>
        </row>
        <row r="133">
          <cell r="C133" t="str">
            <v>6P</v>
          </cell>
          <cell r="D133" t="str">
            <v>All Other</v>
          </cell>
        </row>
        <row r="134">
          <cell r="C134" t="str">
            <v>6R</v>
          </cell>
          <cell r="D134" t="str">
            <v>All Other</v>
          </cell>
        </row>
        <row r="135">
          <cell r="C135" t="str">
            <v>6U</v>
          </cell>
          <cell r="D135" t="str">
            <v>All Other</v>
          </cell>
        </row>
        <row r="136">
          <cell r="C136" t="str">
            <v>6V</v>
          </cell>
          <cell r="D136" t="str">
            <v>All Other</v>
          </cell>
        </row>
        <row r="137">
          <cell r="C137" t="str">
            <v>6W</v>
          </cell>
          <cell r="D137" t="str">
            <v>All Other</v>
          </cell>
        </row>
        <row r="138">
          <cell r="C138" t="str">
            <v>6X</v>
          </cell>
          <cell r="D138" t="str">
            <v>All Other</v>
          </cell>
        </row>
        <row r="139">
          <cell r="C139" t="str">
            <v>6Y</v>
          </cell>
          <cell r="D139" t="str">
            <v>All Other</v>
          </cell>
        </row>
        <row r="140">
          <cell r="C140">
            <v>60</v>
          </cell>
          <cell r="D140" t="str">
            <v>All Other</v>
          </cell>
        </row>
        <row r="141">
          <cell r="C141">
            <v>64</v>
          </cell>
          <cell r="D141" t="str">
            <v>All Other</v>
          </cell>
        </row>
        <row r="142">
          <cell r="C142">
            <v>65</v>
          </cell>
          <cell r="D142" t="str">
            <v>All Other</v>
          </cell>
        </row>
        <row r="143">
          <cell r="C143">
            <v>66</v>
          </cell>
          <cell r="D143" t="str">
            <v>All Other</v>
          </cell>
        </row>
        <row r="144">
          <cell r="C144" t="str">
            <v>7G</v>
          </cell>
          <cell r="D144" t="str">
            <v>All Other</v>
          </cell>
        </row>
        <row r="145">
          <cell r="C145" t="str">
            <v>7J</v>
          </cell>
          <cell r="D145" t="str">
            <v>All Other</v>
          </cell>
        </row>
        <row r="146">
          <cell r="C146" t="str">
            <v>7K</v>
          </cell>
          <cell r="D146" t="str">
            <v>All Other</v>
          </cell>
        </row>
        <row r="147">
          <cell r="C147" t="str">
            <v>7M</v>
          </cell>
          <cell r="D147" t="str">
            <v>All Other</v>
          </cell>
        </row>
        <row r="148">
          <cell r="C148" t="str">
            <v>7N</v>
          </cell>
          <cell r="D148" t="str">
            <v>All Other</v>
          </cell>
        </row>
        <row r="149">
          <cell r="C149" t="str">
            <v>7P</v>
          </cell>
          <cell r="D149" t="str">
            <v>All Other</v>
          </cell>
        </row>
        <row r="150">
          <cell r="C150" t="str">
            <v>7R</v>
          </cell>
          <cell r="D150" t="str">
            <v>All Other</v>
          </cell>
        </row>
        <row r="151">
          <cell r="C151" t="str">
            <v>7S</v>
          </cell>
          <cell r="D151" t="str">
            <v>All Other</v>
          </cell>
        </row>
        <row r="152">
          <cell r="C152" t="str">
            <v>7T</v>
          </cell>
          <cell r="D152" t="str">
            <v>All Other</v>
          </cell>
        </row>
        <row r="153">
          <cell r="C153" t="str">
            <v>7W</v>
          </cell>
          <cell r="D153" t="str">
            <v>All Other</v>
          </cell>
        </row>
        <row r="154">
          <cell r="C154" t="str">
            <v>8E</v>
          </cell>
          <cell r="D154" t="str">
            <v>All Other</v>
          </cell>
        </row>
        <row r="155">
          <cell r="C155" t="str">
            <v>8G</v>
          </cell>
          <cell r="D155" t="str">
            <v>All Other</v>
          </cell>
        </row>
        <row r="156">
          <cell r="C156" t="str">
            <v>8U</v>
          </cell>
          <cell r="D156" t="str">
            <v>All Other</v>
          </cell>
        </row>
        <row r="157">
          <cell r="C157" t="str">
            <v>8V</v>
          </cell>
          <cell r="D157" t="str">
            <v>All Other</v>
          </cell>
        </row>
        <row r="158">
          <cell r="C158" t="str">
            <v>8W</v>
          </cell>
          <cell r="D158" t="str">
            <v>All Other</v>
          </cell>
        </row>
        <row r="159">
          <cell r="C159" t="str">
            <v>8Y</v>
          </cell>
          <cell r="D159" t="str">
            <v>All Other</v>
          </cell>
        </row>
        <row r="160">
          <cell r="C160">
            <v>80</v>
          </cell>
          <cell r="D160" t="str">
            <v>All Other</v>
          </cell>
        </row>
        <row r="161">
          <cell r="C161">
            <v>81</v>
          </cell>
          <cell r="D161" t="str">
            <v>All Other</v>
          </cell>
        </row>
        <row r="162">
          <cell r="C162">
            <v>82</v>
          </cell>
          <cell r="D162" t="str">
            <v>All Other</v>
          </cell>
        </row>
        <row r="163">
          <cell r="C163">
            <v>83</v>
          </cell>
          <cell r="D163" t="str">
            <v>All Other</v>
          </cell>
        </row>
        <row r="164">
          <cell r="C164">
            <v>86</v>
          </cell>
          <cell r="D164" t="str">
            <v>All Other</v>
          </cell>
        </row>
        <row r="165">
          <cell r="C165">
            <v>87</v>
          </cell>
          <cell r="D165" t="str">
            <v>All Other</v>
          </cell>
        </row>
        <row r="166">
          <cell r="C166" t="str">
            <v>2P</v>
          </cell>
          <cell r="D166" t="str">
            <v>All Other</v>
          </cell>
        </row>
        <row r="167">
          <cell r="C167" t="str">
            <v>2R</v>
          </cell>
          <cell r="D167" t="str">
            <v>All Other</v>
          </cell>
        </row>
        <row r="168">
          <cell r="C168" t="str">
            <v>2S</v>
          </cell>
          <cell r="D168" t="str">
            <v>All Other</v>
          </cell>
        </row>
        <row r="169">
          <cell r="C169" t="str">
            <v>2T</v>
          </cell>
          <cell r="D169" t="str">
            <v>All Other</v>
          </cell>
        </row>
        <row r="170">
          <cell r="C170" t="str">
            <v>2U</v>
          </cell>
          <cell r="D170" t="str">
            <v>All Other</v>
          </cell>
        </row>
        <row r="171">
          <cell r="C171" t="str">
            <v>5V</v>
          </cell>
          <cell r="D171" t="str">
            <v>All Other</v>
          </cell>
        </row>
        <row r="172">
          <cell r="C172" t="str">
            <v>7V</v>
          </cell>
          <cell r="D172" t="str">
            <v>All Other</v>
          </cell>
        </row>
        <row r="173">
          <cell r="C173" t="str">
            <v>L6</v>
          </cell>
          <cell r="D173" t="str">
            <v>All Other</v>
          </cell>
        </row>
        <row r="174">
          <cell r="C174" t="str">
            <v>L7</v>
          </cell>
          <cell r="D174" t="str">
            <v>All Other</v>
          </cell>
        </row>
        <row r="175">
          <cell r="C175" t="str">
            <v>7L</v>
          </cell>
          <cell r="D175" t="str">
            <v>All Other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06"/>
      <sheetName val="05-06A(217.02)"/>
      <sheetName val="06-07A(217.02)"/>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wd 296 Jul05"/>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wd 296 Jul05"/>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Notes"/>
      <sheetName val="HIPF Cal-DMC"/>
      <sheetName val="DMC 14-15 summary"/>
      <sheetName val="DMC 15-16 summary"/>
      <sheetName val="Info."/>
      <sheetName val="Delta 15-16 Summary_3"/>
      <sheetName val="Delta 15-16 Summary_1"/>
      <sheetName val="Delta 15-16 Summary-HIPF_2"/>
      <sheetName val="DMC_Elig Data"/>
      <sheetName val="General Formula"/>
      <sheetName val="Lookup"/>
      <sheetName val="Dental Rates"/>
      <sheetName val="Sheet1"/>
      <sheetName val="Sheet2"/>
      <sheetName val="Increment Jan-Apr2014"/>
      <sheetName val="Increment May-June2014"/>
      <sheetName val="Increment July-Dec2014"/>
      <sheetName val="Sheet3"/>
      <sheetName val="LA_15-16_Summary_for Cert"/>
      <sheetName val="DMC 15-16_July-Dec for Cert."/>
      <sheetName val="DMC 15-16_Jan-June for Cert."/>
    </sheetNames>
    <sheetDataSet>
      <sheetData sheetId="0"/>
      <sheetData sheetId="1"/>
      <sheetData sheetId="2"/>
      <sheetData sheetId="3"/>
      <sheetData sheetId="4"/>
      <sheetData sheetId="5">
        <row r="7">
          <cell r="C7">
            <v>1.908371951509355E-2</v>
          </cell>
        </row>
      </sheetData>
      <sheetData sheetId="6"/>
      <sheetData sheetId="7"/>
      <sheetData sheetId="8"/>
      <sheetData sheetId="9"/>
      <sheetData sheetId="10"/>
      <sheetData sheetId="11">
        <row r="6">
          <cell r="C6">
            <v>405</v>
          </cell>
          <cell r="D6" t="str">
            <v>Health Net of California</v>
          </cell>
          <cell r="E6" t="str">
            <v>Health Net</v>
          </cell>
          <cell r="F6" t="str">
            <v>LA</v>
          </cell>
          <cell r="I6" t="str">
            <v>2012-07</v>
          </cell>
          <cell r="J6">
            <v>41091</v>
          </cell>
          <cell r="K6" t="str">
            <v>SFY 12/13</v>
          </cell>
          <cell r="L6" t="str">
            <v>7/2012-6/2013</v>
          </cell>
        </row>
        <row r="7">
          <cell r="C7">
            <v>409</v>
          </cell>
          <cell r="D7" t="str">
            <v>Access Dental Plan/LA</v>
          </cell>
          <cell r="E7" t="str">
            <v>Access</v>
          </cell>
          <cell r="F7" t="str">
            <v>LA</v>
          </cell>
          <cell r="I7" t="str">
            <v>2012-08</v>
          </cell>
          <cell r="J7">
            <v>41122</v>
          </cell>
          <cell r="K7" t="str">
            <v>SFY 12/13</v>
          </cell>
          <cell r="L7" t="str">
            <v>7/2012-6/2013</v>
          </cell>
        </row>
        <row r="8">
          <cell r="C8">
            <v>416</v>
          </cell>
          <cell r="D8" t="str">
            <v>Liberty Dental Plan of CA (LA)</v>
          </cell>
          <cell r="E8" t="str">
            <v>Liberty</v>
          </cell>
          <cell r="F8" t="str">
            <v>LA</v>
          </cell>
          <cell r="I8" t="str">
            <v>2012-09</v>
          </cell>
          <cell r="J8">
            <v>41153</v>
          </cell>
          <cell r="K8" t="str">
            <v>SFY 12/13</v>
          </cell>
          <cell r="L8" t="str">
            <v>7/2012-6/2013</v>
          </cell>
        </row>
        <row r="9">
          <cell r="C9">
            <v>421</v>
          </cell>
          <cell r="D9" t="str">
            <v>Access Dental Plan/Sacto</v>
          </cell>
          <cell r="E9" t="str">
            <v>Access</v>
          </cell>
          <cell r="F9" t="str">
            <v>Sacramento</v>
          </cell>
          <cell r="I9" t="str">
            <v>2012-10</v>
          </cell>
          <cell r="J9">
            <v>41183</v>
          </cell>
          <cell r="K9" t="str">
            <v>SFY 12/13</v>
          </cell>
          <cell r="L9" t="str">
            <v>7/2012-6/2013</v>
          </cell>
        </row>
        <row r="10">
          <cell r="C10">
            <v>425</v>
          </cell>
          <cell r="D10" t="str">
            <v>Liberty Dental Plan of CA/Sacto</v>
          </cell>
          <cell r="E10" t="str">
            <v>Liberty</v>
          </cell>
          <cell r="F10" t="str">
            <v>Sacramento</v>
          </cell>
          <cell r="I10" t="str">
            <v>2012-11</v>
          </cell>
          <cell r="J10">
            <v>41214</v>
          </cell>
          <cell r="K10" t="str">
            <v>SFY 12/13</v>
          </cell>
          <cell r="L10" t="str">
            <v>7/2012-6/2013</v>
          </cell>
        </row>
        <row r="11">
          <cell r="C11">
            <v>427</v>
          </cell>
          <cell r="D11" t="str">
            <v>Health Net of California Dental</v>
          </cell>
          <cell r="E11" t="str">
            <v>Health Net</v>
          </cell>
          <cell r="F11" t="str">
            <v>Sacramento</v>
          </cell>
          <cell r="I11" t="str">
            <v>2012-12</v>
          </cell>
          <cell r="J11">
            <v>41244</v>
          </cell>
          <cell r="K11" t="str">
            <v>SFY 12/13</v>
          </cell>
          <cell r="L11" t="str">
            <v>7/2012-6/2013</v>
          </cell>
        </row>
        <row r="12">
          <cell r="I12" t="str">
            <v>2013-01</v>
          </cell>
          <cell r="J12">
            <v>41275</v>
          </cell>
          <cell r="K12" t="str">
            <v>SFY 12/13</v>
          </cell>
          <cell r="L12" t="str">
            <v>1/2013-6/2013</v>
          </cell>
        </row>
        <row r="13">
          <cell r="I13" t="str">
            <v>2013-02</v>
          </cell>
          <cell r="J13">
            <v>41306</v>
          </cell>
          <cell r="K13" t="str">
            <v>SFY 12/13</v>
          </cell>
          <cell r="L13" t="str">
            <v>1/2013-6/2013</v>
          </cell>
        </row>
        <row r="14">
          <cell r="I14" t="str">
            <v>2013-03</v>
          </cell>
          <cell r="J14">
            <v>41334</v>
          </cell>
          <cell r="K14" t="str">
            <v>SFY 12/13</v>
          </cell>
          <cell r="L14" t="str">
            <v>1/2013-6/2013</v>
          </cell>
        </row>
        <row r="15">
          <cell r="I15" t="str">
            <v>2013-04</v>
          </cell>
          <cell r="J15">
            <v>41365</v>
          </cell>
          <cell r="K15" t="str">
            <v>SFY 12/13</v>
          </cell>
          <cell r="L15" t="str">
            <v>1/2013-6/2013</v>
          </cell>
        </row>
        <row r="16">
          <cell r="I16" t="str">
            <v>2013-05</v>
          </cell>
          <cell r="J16">
            <v>41395</v>
          </cell>
          <cell r="K16" t="str">
            <v>SFY 12/13</v>
          </cell>
          <cell r="L16" t="str">
            <v>1/2013-6/2013</v>
          </cell>
        </row>
        <row r="17">
          <cell r="I17" t="str">
            <v>2013-06</v>
          </cell>
          <cell r="J17">
            <v>41426</v>
          </cell>
          <cell r="K17" t="str">
            <v>SFY 12/13</v>
          </cell>
          <cell r="L17" t="str">
            <v>1/2013-6/2013</v>
          </cell>
        </row>
        <row r="18">
          <cell r="I18" t="str">
            <v>2013-07</v>
          </cell>
          <cell r="J18">
            <v>41456</v>
          </cell>
          <cell r="K18" t="str">
            <v>SFY 13/14</v>
          </cell>
          <cell r="L18" t="str">
            <v>7/2013-9/2013</v>
          </cell>
        </row>
        <row r="19">
          <cell r="I19" t="str">
            <v>2013-08</v>
          </cell>
          <cell r="J19">
            <v>41487</v>
          </cell>
          <cell r="K19" t="str">
            <v>SFY 13/14</v>
          </cell>
          <cell r="L19" t="str">
            <v>7/2013-9/2013</v>
          </cell>
        </row>
        <row r="20">
          <cell r="I20" t="str">
            <v>2013-09</v>
          </cell>
          <cell r="J20">
            <v>41518</v>
          </cell>
          <cell r="K20" t="str">
            <v>SFY 13/14</v>
          </cell>
          <cell r="L20" t="str">
            <v>7/2013-9/2013</v>
          </cell>
        </row>
        <row r="21">
          <cell r="I21" t="str">
            <v>2013-10</v>
          </cell>
          <cell r="J21">
            <v>41548</v>
          </cell>
          <cell r="K21" t="str">
            <v>SFY 13/14</v>
          </cell>
          <cell r="L21" t="str">
            <v>10/2013-12/2013</v>
          </cell>
        </row>
        <row r="22">
          <cell r="I22" t="str">
            <v>2013-11</v>
          </cell>
          <cell r="J22">
            <v>41579</v>
          </cell>
          <cell r="K22" t="str">
            <v>SFY 13/14</v>
          </cell>
          <cell r="L22" t="str">
            <v>10/2013-12/2013</v>
          </cell>
        </row>
        <row r="23">
          <cell r="I23" t="str">
            <v>2013-12</v>
          </cell>
          <cell r="J23">
            <v>41609</v>
          </cell>
          <cell r="K23" t="str">
            <v>SFY 13/14</v>
          </cell>
          <cell r="L23" t="str">
            <v>10/2013-12/2013</v>
          </cell>
        </row>
        <row r="24">
          <cell r="I24" t="str">
            <v>2014-01</v>
          </cell>
          <cell r="J24">
            <v>41640</v>
          </cell>
          <cell r="K24" t="str">
            <v>SFY 13/14</v>
          </cell>
          <cell r="L24" t="str">
            <v>1/2014-4/2014</v>
          </cell>
        </row>
        <row r="25">
          <cell r="I25" t="str">
            <v>2014-02</v>
          </cell>
          <cell r="J25">
            <v>41671</v>
          </cell>
          <cell r="K25" t="str">
            <v>SFY 13/14</v>
          </cell>
          <cell r="L25" t="str">
            <v>1/2014-4/2014</v>
          </cell>
        </row>
        <row r="26">
          <cell r="I26" t="str">
            <v>2014-03</v>
          </cell>
          <cell r="J26">
            <v>41699</v>
          </cell>
          <cell r="K26" t="str">
            <v>SFY 13/14</v>
          </cell>
          <cell r="L26" t="str">
            <v>1/2014-4/2014</v>
          </cell>
        </row>
        <row r="27">
          <cell r="I27" t="str">
            <v>2014-04</v>
          </cell>
          <cell r="J27">
            <v>41730</v>
          </cell>
          <cell r="K27" t="str">
            <v>SFY 13/14</v>
          </cell>
          <cell r="L27" t="str">
            <v>1/2014-4/2014</v>
          </cell>
        </row>
        <row r="28">
          <cell r="I28" t="str">
            <v>2014-05</v>
          </cell>
          <cell r="J28">
            <v>41760</v>
          </cell>
          <cell r="K28" t="str">
            <v>SFY 13/14</v>
          </cell>
          <cell r="L28" t="str">
            <v>5/2014-6/2014</v>
          </cell>
        </row>
        <row r="29">
          <cell r="I29" t="str">
            <v>2014-06</v>
          </cell>
          <cell r="J29">
            <v>41791</v>
          </cell>
          <cell r="K29" t="str">
            <v>SFY 13/14</v>
          </cell>
          <cell r="L29" t="str">
            <v>5/2014-6/2014</v>
          </cell>
        </row>
        <row r="30">
          <cell r="I30" t="str">
            <v>2014-07</v>
          </cell>
          <cell r="J30">
            <v>41821</v>
          </cell>
          <cell r="K30" t="str">
            <v>SFY 14/15</v>
          </cell>
          <cell r="L30" t="str">
            <v>7/2014-12/2014</v>
          </cell>
        </row>
        <row r="31">
          <cell r="I31" t="str">
            <v>2014-08</v>
          </cell>
          <cell r="J31">
            <v>41852</v>
          </cell>
          <cell r="K31" t="str">
            <v>SFY 14/15</v>
          </cell>
          <cell r="L31" t="str">
            <v>7/2014-12/2014</v>
          </cell>
        </row>
        <row r="32">
          <cell r="I32" t="str">
            <v>2014-09</v>
          </cell>
          <cell r="J32">
            <v>41883</v>
          </cell>
          <cell r="K32" t="str">
            <v>SFY 14/15</v>
          </cell>
          <cell r="L32" t="str">
            <v>7/2014-12/2014</v>
          </cell>
        </row>
        <row r="33">
          <cell r="I33" t="str">
            <v>2014-10</v>
          </cell>
          <cell r="J33">
            <v>41913</v>
          </cell>
          <cell r="K33" t="str">
            <v>SFY 14/15</v>
          </cell>
          <cell r="L33" t="str">
            <v>7/2014-12/2014</v>
          </cell>
        </row>
        <row r="34">
          <cell r="I34" t="str">
            <v>2014-11</v>
          </cell>
          <cell r="J34">
            <v>41944</v>
          </cell>
          <cell r="K34" t="str">
            <v>SFY 14/15</v>
          </cell>
          <cell r="L34" t="str">
            <v>7/2014-12/2014</v>
          </cell>
        </row>
        <row r="35">
          <cell r="I35" t="str">
            <v>2014-12</v>
          </cell>
          <cell r="J35">
            <v>41974</v>
          </cell>
          <cell r="K35" t="str">
            <v>SFY 14/15</v>
          </cell>
          <cell r="L35" t="str">
            <v>7/2014-12/2014</v>
          </cell>
        </row>
        <row r="36">
          <cell r="I36" t="str">
            <v>2015-01</v>
          </cell>
          <cell r="J36">
            <v>42005</v>
          </cell>
          <cell r="K36" t="str">
            <v>SFY 14/15</v>
          </cell>
          <cell r="L36" t="str">
            <v>1/2015-6/2015</v>
          </cell>
        </row>
        <row r="37">
          <cell r="I37" t="str">
            <v>2015-02</v>
          </cell>
          <cell r="J37">
            <v>42036</v>
          </cell>
          <cell r="K37" t="str">
            <v>SFY 14/15</v>
          </cell>
          <cell r="L37" t="str">
            <v>1/2015-6/2015</v>
          </cell>
        </row>
        <row r="38">
          <cell r="I38" t="str">
            <v>2015-03</v>
          </cell>
          <cell r="J38">
            <v>42064</v>
          </cell>
          <cell r="K38" t="str">
            <v>SFY 14/15</v>
          </cell>
          <cell r="L38" t="str">
            <v>1/2015-6/2015</v>
          </cell>
        </row>
        <row r="39">
          <cell r="I39" t="str">
            <v>2015-04</v>
          </cell>
          <cell r="J39">
            <v>42095</v>
          </cell>
          <cell r="K39" t="str">
            <v>SFY 14/15</v>
          </cell>
          <cell r="L39" t="str">
            <v>1/2015-6/2015</v>
          </cell>
        </row>
        <row r="40">
          <cell r="I40" t="str">
            <v>2015-05</v>
          </cell>
          <cell r="J40">
            <v>42125</v>
          </cell>
          <cell r="K40" t="str">
            <v>SFY 14/15</v>
          </cell>
          <cell r="L40" t="str">
            <v>1/2015-6/2015</v>
          </cell>
        </row>
        <row r="41">
          <cell r="I41" t="str">
            <v>2015-06</v>
          </cell>
          <cell r="J41">
            <v>42156</v>
          </cell>
          <cell r="K41" t="str">
            <v>SFY 14/15</v>
          </cell>
          <cell r="L41" t="str">
            <v>1/2015-6/2015</v>
          </cell>
        </row>
        <row r="42">
          <cell r="I42" t="str">
            <v>2015-07</v>
          </cell>
          <cell r="J42">
            <v>42186</v>
          </cell>
          <cell r="K42" t="str">
            <v>SFY 15/16</v>
          </cell>
          <cell r="L42" t="str">
            <v>7/2015-12/2015</v>
          </cell>
        </row>
        <row r="43">
          <cell r="I43" t="str">
            <v>2015-08</v>
          </cell>
          <cell r="J43">
            <v>42217</v>
          </cell>
          <cell r="K43" t="str">
            <v>SFY 15/16</v>
          </cell>
          <cell r="L43" t="str">
            <v>7/2015-12/2015</v>
          </cell>
        </row>
        <row r="44">
          <cell r="I44" t="str">
            <v>2015-09</v>
          </cell>
          <cell r="J44">
            <v>42248</v>
          </cell>
          <cell r="K44" t="str">
            <v>SFY 15/16</v>
          </cell>
          <cell r="L44" t="str">
            <v>7/2015-12/2015</v>
          </cell>
        </row>
        <row r="45">
          <cell r="I45" t="str">
            <v>2015-10</v>
          </cell>
          <cell r="J45">
            <v>42278</v>
          </cell>
          <cell r="K45" t="str">
            <v>SFY 15/16</v>
          </cell>
          <cell r="L45" t="str">
            <v>7/2015-12/2015</v>
          </cell>
        </row>
        <row r="46">
          <cell r="I46" t="str">
            <v>2015-11</v>
          </cell>
          <cell r="J46">
            <v>42309</v>
          </cell>
          <cell r="K46" t="str">
            <v>SFY 15/16</v>
          </cell>
          <cell r="L46" t="str">
            <v>7/2015-12/2015</v>
          </cell>
        </row>
        <row r="47">
          <cell r="I47" t="str">
            <v>2015-12</v>
          </cell>
          <cell r="J47">
            <v>42339</v>
          </cell>
          <cell r="K47" t="str">
            <v>SFY 15/16</v>
          </cell>
          <cell r="L47" t="str">
            <v>7/2015-12/2015</v>
          </cell>
        </row>
        <row r="48">
          <cell r="I48" t="str">
            <v>2016-01</v>
          </cell>
          <cell r="J48">
            <v>42370</v>
          </cell>
          <cell r="K48" t="str">
            <v>SFY 15/16</v>
          </cell>
          <cell r="L48" t="str">
            <v>1/2016-6/2016</v>
          </cell>
        </row>
        <row r="49">
          <cell r="I49" t="str">
            <v>2016-02</v>
          </cell>
          <cell r="J49">
            <v>42401</v>
          </cell>
          <cell r="K49" t="str">
            <v>SFY 15/16</v>
          </cell>
          <cell r="L49" t="str">
            <v>1/2016-6/2016</v>
          </cell>
        </row>
        <row r="50">
          <cell r="I50" t="str">
            <v>2016-03</v>
          </cell>
          <cell r="J50">
            <v>42430</v>
          </cell>
          <cell r="K50" t="str">
            <v>SFY 15/16</v>
          </cell>
          <cell r="L50" t="str">
            <v>1/2016-6/2016</v>
          </cell>
        </row>
        <row r="51">
          <cell r="I51" t="str">
            <v>2016-04</v>
          </cell>
          <cell r="J51">
            <v>42461</v>
          </cell>
          <cell r="K51" t="str">
            <v>SFY 15/16</v>
          </cell>
          <cell r="L51" t="str">
            <v>1/2016-6/2016</v>
          </cell>
        </row>
        <row r="52">
          <cell r="I52" t="str">
            <v>2016-05</v>
          </cell>
          <cell r="J52">
            <v>42491</v>
          </cell>
          <cell r="K52" t="str">
            <v>SFY 15/16</v>
          </cell>
          <cell r="L52" t="str">
            <v>1/2016-6/2016</v>
          </cell>
        </row>
        <row r="53">
          <cell r="I53" t="str">
            <v>2016-06</v>
          </cell>
          <cell r="J53">
            <v>42522</v>
          </cell>
          <cell r="K53" t="str">
            <v>SFY 15/16</v>
          </cell>
          <cell r="L53" t="str">
            <v>1/2016-6/2016</v>
          </cell>
        </row>
        <row r="54">
          <cell r="I54" t="str">
            <v>2016-07</v>
          </cell>
          <cell r="J54">
            <v>42552</v>
          </cell>
          <cell r="K54" t="str">
            <v>SFY 16/17</v>
          </cell>
          <cell r="L54" t="str">
            <v>7/2016-12/2016</v>
          </cell>
        </row>
        <row r="55">
          <cell r="I55" t="str">
            <v>2016-08</v>
          </cell>
          <cell r="J55">
            <v>42583</v>
          </cell>
          <cell r="K55" t="str">
            <v>SFY 16/17</v>
          </cell>
          <cell r="L55" t="str">
            <v>7/2016-12/2016</v>
          </cell>
        </row>
        <row r="56">
          <cell r="I56" t="str">
            <v>2016-09</v>
          </cell>
          <cell r="J56">
            <v>42614</v>
          </cell>
          <cell r="K56" t="str">
            <v>SFY 16/17</v>
          </cell>
          <cell r="L56" t="str">
            <v>7/2016-12/2016</v>
          </cell>
        </row>
        <row r="57">
          <cell r="I57" t="str">
            <v>2016-10</v>
          </cell>
          <cell r="J57">
            <v>42644</v>
          </cell>
          <cell r="K57" t="str">
            <v>SFY 16/17</v>
          </cell>
          <cell r="L57" t="str">
            <v>7/2016-12/2016</v>
          </cell>
        </row>
        <row r="58">
          <cell r="I58" t="str">
            <v>2016-11</v>
          </cell>
          <cell r="J58">
            <v>42675</v>
          </cell>
          <cell r="K58" t="str">
            <v>SFY 16/17</v>
          </cell>
          <cell r="L58" t="str">
            <v>7/2016-12/2016</v>
          </cell>
        </row>
        <row r="59">
          <cell r="I59" t="str">
            <v>2016-12</v>
          </cell>
          <cell r="J59">
            <v>42705</v>
          </cell>
          <cell r="K59" t="str">
            <v>SFY 16/17</v>
          </cell>
          <cell r="L59" t="str">
            <v>7/2016-12/2016</v>
          </cell>
        </row>
      </sheetData>
      <sheetData sheetId="12">
        <row r="23">
          <cell r="A23" t="str">
            <v>LA1/2014-4/2014</v>
          </cell>
          <cell r="B23" t="str">
            <v>LA</v>
          </cell>
          <cell r="C23" t="str">
            <v>1/2014-4/2014</v>
          </cell>
          <cell r="D23">
            <v>12.76</v>
          </cell>
          <cell r="E23">
            <v>2.0699999999999998</v>
          </cell>
        </row>
        <row r="24">
          <cell r="A24" t="str">
            <v>LA5/2014-6/2014</v>
          </cell>
          <cell r="B24" t="str">
            <v>LA</v>
          </cell>
          <cell r="C24" t="str">
            <v>5/2014-6/2014</v>
          </cell>
          <cell r="D24">
            <v>12.76</v>
          </cell>
          <cell r="E24">
            <v>8.39</v>
          </cell>
        </row>
        <row r="25">
          <cell r="A25" t="str">
            <v>LA7/2014-12/2014</v>
          </cell>
          <cell r="B25" t="str">
            <v>LA</v>
          </cell>
          <cell r="C25" t="str">
            <v>7/2014-12/2014</v>
          </cell>
          <cell r="D25">
            <v>12.95</v>
          </cell>
          <cell r="E25">
            <v>7.8</v>
          </cell>
        </row>
        <row r="26">
          <cell r="A26" t="str">
            <v>Sacramento1/2014-4/2014</v>
          </cell>
          <cell r="B26" t="str">
            <v>Sacramento</v>
          </cell>
          <cell r="C26" t="str">
            <v>1/2014-4/2014</v>
          </cell>
          <cell r="D26">
            <v>11.05</v>
          </cell>
          <cell r="E26">
            <v>1.99</v>
          </cell>
        </row>
        <row r="27">
          <cell r="A27" t="str">
            <v>Sacramento5/2014-6/2014</v>
          </cell>
          <cell r="B27" t="str">
            <v>Sacramento</v>
          </cell>
          <cell r="C27" t="str">
            <v>5/2014-6/2014</v>
          </cell>
          <cell r="D27">
            <v>11.05</v>
          </cell>
          <cell r="E27">
            <v>7.71</v>
          </cell>
        </row>
        <row r="28">
          <cell r="A28" t="str">
            <v>Sacramento7/2014-12/2014</v>
          </cell>
          <cell r="B28" t="str">
            <v>Sacramento</v>
          </cell>
          <cell r="C28" t="str">
            <v>7/2014-12/2014</v>
          </cell>
          <cell r="D28">
            <v>11.45</v>
          </cell>
          <cell r="E28">
            <v>8.42</v>
          </cell>
        </row>
        <row r="31">
          <cell r="A31">
            <v>0</v>
          </cell>
          <cell r="C31" t="str">
            <v>Rate_Date</v>
          </cell>
          <cell r="D31" t="str">
            <v>All Other</v>
          </cell>
          <cell r="E31" t="str">
            <v>Refugees</v>
          </cell>
        </row>
        <row r="32">
          <cell r="A32" t="str">
            <v>Delta1/2014-4/2014</v>
          </cell>
          <cell r="B32" t="str">
            <v>Delta</v>
          </cell>
          <cell r="C32" t="str">
            <v>1/2014-4/2014</v>
          </cell>
          <cell r="D32">
            <v>5.22</v>
          </cell>
          <cell r="E32">
            <v>2.93</v>
          </cell>
        </row>
        <row r="33">
          <cell r="A33" t="str">
            <v>Delta5/2014-6/2014</v>
          </cell>
          <cell r="B33" t="str">
            <v>Delta</v>
          </cell>
          <cell r="C33" t="str">
            <v>5/2014-6/2014</v>
          </cell>
          <cell r="D33">
            <v>7.41</v>
          </cell>
          <cell r="E33">
            <v>6.9</v>
          </cell>
        </row>
        <row r="34">
          <cell r="A34" t="str">
            <v>Delta7/2014-12/2014</v>
          </cell>
          <cell r="B34" t="str">
            <v>Delta</v>
          </cell>
          <cell r="C34" t="str">
            <v>7/2014-12/2014</v>
          </cell>
          <cell r="D34">
            <v>7.81</v>
          </cell>
          <cell r="E34">
            <v>5.81</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Notes"/>
      <sheetName val="HIPF Cal--Delta"/>
      <sheetName val="Delta 14-15 Summary "/>
      <sheetName val="Delta 15-16 Summary"/>
      <sheetName val="Delta 15-16 Summary-HIPF"/>
      <sheetName val="HIPF Cal."/>
      <sheetName val="DMC summary"/>
      <sheetName val="Info."/>
      <sheetName val="DMC CY14 Revenue"/>
      <sheetName val="Eligibility Data"/>
      <sheetName val="General Formula"/>
      <sheetName val="Pivot"/>
      <sheetName val="Lookup"/>
      <sheetName val="Dental Rates"/>
      <sheetName val="Enrollment CFs"/>
      <sheetName val="2015 Enrollment"/>
      <sheetName val="Sheet1"/>
      <sheetName val="Sheet2"/>
      <sheetName val="Increment Jan-Apr2014"/>
      <sheetName val="Increment May-June2014"/>
      <sheetName val="Increment July-Dec2014"/>
      <sheetName val="Sheet3"/>
      <sheetName val="Delta 15-16 Summary_3"/>
      <sheetName val="Delta 15-16 Summary_1"/>
      <sheetName val="Delta 15-16 Summary-HIPF_2"/>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ow r="6">
          <cell r="C6" t="str">
            <v>405</v>
          </cell>
          <cell r="J6">
            <v>41091</v>
          </cell>
          <cell r="K6" t="str">
            <v>SFY 12/13</v>
          </cell>
          <cell r="L6" t="str">
            <v>7/2012-6/2013</v>
          </cell>
        </row>
        <row r="7">
          <cell r="J7">
            <v>41122</v>
          </cell>
          <cell r="K7" t="str">
            <v>SFY 12/13</v>
          </cell>
          <cell r="L7" t="str">
            <v>7/2012-6/2013</v>
          </cell>
        </row>
        <row r="8">
          <cell r="J8">
            <v>41153</v>
          </cell>
          <cell r="K8" t="str">
            <v>SFY 12/13</v>
          </cell>
          <cell r="L8" t="str">
            <v>7/2012-6/2013</v>
          </cell>
        </row>
        <row r="9">
          <cell r="J9">
            <v>41183</v>
          </cell>
          <cell r="K9" t="str">
            <v>SFY 12/13</v>
          </cell>
          <cell r="L9" t="str">
            <v>7/2012-6/2013</v>
          </cell>
        </row>
        <row r="10">
          <cell r="J10">
            <v>41214</v>
          </cell>
          <cell r="K10" t="str">
            <v>SFY 12/13</v>
          </cell>
          <cell r="L10" t="str">
            <v>7/2012-6/2013</v>
          </cell>
        </row>
        <row r="11">
          <cell r="J11">
            <v>41244</v>
          </cell>
          <cell r="K11" t="str">
            <v>SFY 12/13</v>
          </cell>
          <cell r="L11" t="str">
            <v>7/2012-6/2013</v>
          </cell>
        </row>
        <row r="12">
          <cell r="J12">
            <v>41275</v>
          </cell>
          <cell r="K12" t="str">
            <v>SFY 12/13</v>
          </cell>
          <cell r="L12" t="str">
            <v>1/2013-6/2013</v>
          </cell>
        </row>
        <row r="13">
          <cell r="J13">
            <v>41306</v>
          </cell>
          <cell r="K13" t="str">
            <v>SFY 12/13</v>
          </cell>
          <cell r="L13" t="str">
            <v>1/2013-6/2013</v>
          </cell>
        </row>
        <row r="14">
          <cell r="J14">
            <v>41334</v>
          </cell>
          <cell r="K14" t="str">
            <v>SFY 12/13</v>
          </cell>
          <cell r="L14" t="str">
            <v>1/2013-6/2013</v>
          </cell>
        </row>
        <row r="15">
          <cell r="J15">
            <v>41365</v>
          </cell>
          <cell r="K15" t="str">
            <v>SFY 12/13</v>
          </cell>
          <cell r="L15" t="str">
            <v>1/2013-6/2013</v>
          </cell>
        </row>
        <row r="16">
          <cell r="J16">
            <v>41395</v>
          </cell>
          <cell r="K16" t="str">
            <v>SFY 12/13</v>
          </cell>
          <cell r="L16" t="str">
            <v>1/2013-6/2013</v>
          </cell>
        </row>
        <row r="17">
          <cell r="J17">
            <v>41426</v>
          </cell>
          <cell r="K17" t="str">
            <v>SFY 12/13</v>
          </cell>
          <cell r="L17" t="str">
            <v>1/2013-6/2013</v>
          </cell>
        </row>
        <row r="18">
          <cell r="J18">
            <v>41456</v>
          </cell>
          <cell r="K18" t="str">
            <v>SFY 13/14</v>
          </cell>
          <cell r="L18" t="str">
            <v>7/2013-9/2013</v>
          </cell>
        </row>
        <row r="19">
          <cell r="J19">
            <v>41487</v>
          </cell>
          <cell r="K19" t="str">
            <v>SFY 13/14</v>
          </cell>
          <cell r="L19" t="str">
            <v>7/2013-9/2013</v>
          </cell>
        </row>
        <row r="20">
          <cell r="J20">
            <v>41518</v>
          </cell>
          <cell r="K20" t="str">
            <v>SFY 13/14</v>
          </cell>
          <cell r="L20" t="str">
            <v>7/2013-9/2013</v>
          </cell>
        </row>
        <row r="21">
          <cell r="J21">
            <v>41548</v>
          </cell>
          <cell r="K21" t="str">
            <v>SFY 13/14</v>
          </cell>
          <cell r="L21" t="str">
            <v>10/2013-12/2013</v>
          </cell>
        </row>
        <row r="22">
          <cell r="J22">
            <v>41579</v>
          </cell>
          <cell r="K22" t="str">
            <v>SFY 13/14</v>
          </cell>
          <cell r="L22" t="str">
            <v>10/2013-12/2013</v>
          </cell>
        </row>
        <row r="23">
          <cell r="J23">
            <v>41609</v>
          </cell>
          <cell r="K23" t="str">
            <v>SFY 13/14</v>
          </cell>
          <cell r="L23" t="str">
            <v>10/2013-12/2013</v>
          </cell>
        </row>
        <row r="24">
          <cell r="J24">
            <v>41640</v>
          </cell>
          <cell r="K24" t="str">
            <v>SFY 13/14</v>
          </cell>
          <cell r="L24" t="str">
            <v>1/2014-4/2014</v>
          </cell>
        </row>
        <row r="25">
          <cell r="J25">
            <v>41671</v>
          </cell>
          <cell r="K25" t="str">
            <v>SFY 13/14</v>
          </cell>
          <cell r="L25" t="str">
            <v>1/2014-4/2014</v>
          </cell>
        </row>
        <row r="26">
          <cell r="J26">
            <v>41699</v>
          </cell>
          <cell r="K26" t="str">
            <v>SFY 13/14</v>
          </cell>
          <cell r="L26" t="str">
            <v>1/2014-4/2014</v>
          </cell>
        </row>
        <row r="27">
          <cell r="J27">
            <v>41730</v>
          </cell>
          <cell r="K27" t="str">
            <v>SFY 13/14</v>
          </cell>
          <cell r="L27" t="str">
            <v>1/2014-4/2014</v>
          </cell>
        </row>
        <row r="28">
          <cell r="J28">
            <v>41760</v>
          </cell>
          <cell r="K28" t="str">
            <v>SFY 13/14</v>
          </cell>
          <cell r="L28" t="str">
            <v>5/2014-6/2014</v>
          </cell>
        </row>
        <row r="29">
          <cell r="J29">
            <v>41791</v>
          </cell>
          <cell r="K29" t="str">
            <v>SFY 13/14</v>
          </cell>
          <cell r="L29" t="str">
            <v>5/2014-6/2014</v>
          </cell>
        </row>
        <row r="30">
          <cell r="J30">
            <v>41821</v>
          </cell>
          <cell r="K30" t="str">
            <v>SFY 14/15</v>
          </cell>
          <cell r="L30" t="str">
            <v>7/2014-12/2014</v>
          </cell>
        </row>
        <row r="31">
          <cell r="J31">
            <v>41852</v>
          </cell>
          <cell r="K31" t="str">
            <v>SFY 14/15</v>
          </cell>
          <cell r="L31" t="str">
            <v>7/2014-12/2014</v>
          </cell>
        </row>
        <row r="32">
          <cell r="J32">
            <v>41883</v>
          </cell>
          <cell r="K32" t="str">
            <v>SFY 14/15</v>
          </cell>
          <cell r="L32" t="str">
            <v>7/2014-12/2014</v>
          </cell>
        </row>
        <row r="33">
          <cell r="J33">
            <v>41913</v>
          </cell>
          <cell r="K33" t="str">
            <v>SFY 14/15</v>
          </cell>
          <cell r="L33" t="str">
            <v>7/2014-12/2014</v>
          </cell>
        </row>
        <row r="34">
          <cell r="J34">
            <v>41944</v>
          </cell>
          <cell r="K34" t="str">
            <v>SFY 14/15</v>
          </cell>
          <cell r="L34" t="str">
            <v>7/2014-12/2014</v>
          </cell>
        </row>
        <row r="35">
          <cell r="J35">
            <v>41974</v>
          </cell>
          <cell r="K35" t="str">
            <v>SFY 14/15</v>
          </cell>
          <cell r="L35" t="str">
            <v>7/2014-12/2014</v>
          </cell>
        </row>
        <row r="36">
          <cell r="J36">
            <v>42005</v>
          </cell>
          <cell r="K36" t="str">
            <v>SFY 14/15</v>
          </cell>
          <cell r="L36" t="str">
            <v>1/2015-6/2015</v>
          </cell>
        </row>
        <row r="37">
          <cell r="J37">
            <v>42036</v>
          </cell>
          <cell r="K37" t="str">
            <v>SFY 14/15</v>
          </cell>
          <cell r="L37" t="str">
            <v>1/2015-6/2015</v>
          </cell>
        </row>
        <row r="38">
          <cell r="J38">
            <v>42064</v>
          </cell>
          <cell r="K38" t="str">
            <v>SFY 14/15</v>
          </cell>
          <cell r="L38" t="str">
            <v>1/2015-6/2015</v>
          </cell>
        </row>
        <row r="39">
          <cell r="J39">
            <v>42095</v>
          </cell>
          <cell r="K39" t="str">
            <v>SFY 14/15</v>
          </cell>
          <cell r="L39" t="str">
            <v>1/2015-6/2015</v>
          </cell>
        </row>
        <row r="40">
          <cell r="J40">
            <v>42125</v>
          </cell>
          <cell r="K40" t="str">
            <v>SFY 14/15</v>
          </cell>
          <cell r="L40" t="str">
            <v>1/2015-6/2015</v>
          </cell>
        </row>
        <row r="41">
          <cell r="J41">
            <v>42156</v>
          </cell>
          <cell r="K41" t="str">
            <v>SFY 14/15</v>
          </cell>
          <cell r="L41" t="str">
            <v>1/2015-6/2015</v>
          </cell>
        </row>
        <row r="42">
          <cell r="J42">
            <v>42186</v>
          </cell>
          <cell r="K42" t="str">
            <v>SFY 15/16</v>
          </cell>
          <cell r="L42" t="str">
            <v>7/2015-12/2015</v>
          </cell>
        </row>
        <row r="43">
          <cell r="J43">
            <v>42217</v>
          </cell>
          <cell r="K43" t="str">
            <v>SFY 15/16</v>
          </cell>
          <cell r="L43" t="str">
            <v>7/2015-12/2015</v>
          </cell>
        </row>
        <row r="44">
          <cell r="J44">
            <v>42248</v>
          </cell>
          <cell r="K44" t="str">
            <v>SFY 15/16</v>
          </cell>
          <cell r="L44" t="str">
            <v>7/2015-12/2015</v>
          </cell>
        </row>
        <row r="45">
          <cell r="J45">
            <v>42278</v>
          </cell>
          <cell r="K45" t="str">
            <v>SFY 15/16</v>
          </cell>
          <cell r="L45" t="str">
            <v>7/2015-12/2015</v>
          </cell>
        </row>
        <row r="46">
          <cell r="J46">
            <v>42309</v>
          </cell>
          <cell r="K46" t="str">
            <v>SFY 15/16</v>
          </cell>
          <cell r="L46" t="str">
            <v>7/2015-12/2015</v>
          </cell>
        </row>
        <row r="47">
          <cell r="J47">
            <v>42339</v>
          </cell>
          <cell r="K47" t="str">
            <v>SFY 15/16</v>
          </cell>
          <cell r="L47" t="str">
            <v>7/2015-12/2015</v>
          </cell>
        </row>
      </sheetData>
      <sheetData sheetId="14">
        <row r="23">
          <cell r="A23" t="str">
            <v>LA1/2014-4/2014</v>
          </cell>
        </row>
        <row r="40">
          <cell r="A40" t="str">
            <v>LA1/2015-6/2015</v>
          </cell>
          <cell r="B40" t="str">
            <v>LA</v>
          </cell>
          <cell r="C40" t="str">
            <v>SFY 14/15</v>
          </cell>
          <cell r="D40" t="str">
            <v>1/2015-6/2015</v>
          </cell>
          <cell r="E40">
            <v>12.95</v>
          </cell>
          <cell r="F40">
            <v>7.8</v>
          </cell>
        </row>
        <row r="41">
          <cell r="A41" t="str">
            <v>LA7/2015-12/2015</v>
          </cell>
          <cell r="B41" t="str">
            <v>LA</v>
          </cell>
          <cell r="C41" t="str">
            <v>SFY 15/16</v>
          </cell>
          <cell r="D41" t="str">
            <v>7/2015-12/2015</v>
          </cell>
          <cell r="E41">
            <v>13.5</v>
          </cell>
          <cell r="F41">
            <v>9.31</v>
          </cell>
        </row>
        <row r="42">
          <cell r="A42" t="str">
            <v>Sacramento1/2015-6/2015</v>
          </cell>
          <cell r="B42" t="str">
            <v>Sacramento</v>
          </cell>
          <cell r="C42" t="str">
            <v>SFY 14/15</v>
          </cell>
          <cell r="D42" t="str">
            <v>1/2015-6/2015</v>
          </cell>
          <cell r="E42">
            <v>11.45</v>
          </cell>
          <cell r="F42">
            <v>8.42</v>
          </cell>
        </row>
        <row r="43">
          <cell r="A43" t="str">
            <v>Sacramento7/2015-12/2015</v>
          </cell>
          <cell r="B43" t="str">
            <v>Sacramento</v>
          </cell>
          <cell r="C43" t="str">
            <v>SFY 15/16</v>
          </cell>
          <cell r="D43" t="str">
            <v>7/2015-12/2015</v>
          </cell>
          <cell r="E43">
            <v>11.87</v>
          </cell>
          <cell r="F43">
            <v>8.7200000000000006</v>
          </cell>
        </row>
        <row r="46">
          <cell r="C46" t="str">
            <v>Rate_Period</v>
          </cell>
          <cell r="D46" t="str">
            <v>Rate_Date</v>
          </cell>
          <cell r="E46" t="str">
            <v>All Other</v>
          </cell>
          <cell r="F46" t="str">
            <v>Refugees</v>
          </cell>
        </row>
        <row r="47">
          <cell r="A47" t="str">
            <v>Delta1/2015-6/2015</v>
          </cell>
          <cell r="B47" t="str">
            <v>Delta</v>
          </cell>
          <cell r="C47" t="str">
            <v>SFY 14/15</v>
          </cell>
          <cell r="D47" t="str">
            <v>1/2015-6/2015</v>
          </cell>
          <cell r="E47">
            <v>7.81</v>
          </cell>
          <cell r="F47">
            <v>5.81</v>
          </cell>
        </row>
        <row r="48">
          <cell r="A48" t="str">
            <v>Delta7/2015-12/2015</v>
          </cell>
          <cell r="B48" t="str">
            <v>Delta</v>
          </cell>
          <cell r="C48" t="str">
            <v>SFY 15/16</v>
          </cell>
          <cell r="D48" t="str">
            <v>7/2015-12/2015</v>
          </cell>
          <cell r="E48">
            <v>8.32</v>
          </cell>
          <cell r="F48">
            <v>8.32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alc- COA"/>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3-Dat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mmary"/>
      <sheetName val="Raw Data"/>
      <sheetName val="Budget Request Details"/>
      <sheetName val="Workload Measures"/>
      <sheetName val="Program Budget Measures"/>
      <sheetName val="Position Change Request"/>
      <sheetName val="PY Position Summary"/>
      <sheetName val="CY Position Summary"/>
      <sheetName val="BY - BY4 Position Summary"/>
      <sheetName val="PY Expenditures"/>
      <sheetName val="CY Expenditures"/>
      <sheetName val="BY - BY4 Expenditures"/>
      <sheetName val="PY Non Add Expenditures"/>
      <sheetName val="CY Non Add Expenditures"/>
      <sheetName val="BY - BY4 Non Add Expenditures"/>
      <sheetName val="Dimension Lookup"/>
      <sheetName val="Smartlist Lookup"/>
      <sheetName val="Change Log"/>
      <sheetName val="GFU #4 5180-101-ECP-2017-GB (BR"/>
    </sheetNames>
    <sheetDataSet>
      <sheetData sheetId="0" refreshError="1"/>
      <sheetData sheetId="1" refreshError="1"/>
      <sheetData sheetId="2" refreshError="1"/>
      <sheetData sheetId="3">
        <row r="4">
          <cell r="B4" t="str">
            <v>BR 0091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Form"/>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mmary"/>
      <sheetName val="Raw Data"/>
      <sheetName val="Budget Request Details"/>
      <sheetName val="Workload Measures"/>
      <sheetName val="Program Budget Measures"/>
      <sheetName val="Position Change Request"/>
      <sheetName val="PY Position Summary"/>
      <sheetName val="CY Position Summary"/>
      <sheetName val="BY - BY4 Position Summary"/>
      <sheetName val="PY Expenditures"/>
      <sheetName val="CY Expenditures"/>
      <sheetName val="BY - BY4 Expenditures"/>
      <sheetName val="PY Non Add Expenditures"/>
      <sheetName val="CY Non Add Expenditures"/>
      <sheetName val="BY - BY4 Non Add Expenditures"/>
      <sheetName val="Dimension Lookup"/>
      <sheetName val="Smartlist Lookup"/>
      <sheetName val="Change Log"/>
      <sheetName val="5180-201-ECP-2017-GB (BR-91)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General"/>
      <sheetName val="Intructions - Forms"/>
      <sheetName val="Dimension Lookup"/>
      <sheetName val="ECP Input"/>
      <sheetName val="ECP Input V2"/>
      <sheetName val="Budget Request Details"/>
      <sheetName val="Program Budget Measures"/>
      <sheetName val="Workload Measures"/>
      <sheetName val="Pers Cost"/>
      <sheetName val="Position Change Request"/>
      <sheetName val="Position Summary CY"/>
      <sheetName val="Position Summary BY0-4"/>
      <sheetName val="Request By Category PY"/>
      <sheetName val="Request By Category CY"/>
      <sheetName val="Request By Category BY"/>
      <sheetName val="Request By CategoryBY1"/>
      <sheetName val="Request By CategoryBY2"/>
      <sheetName val="Request By CategoryBY3"/>
      <sheetName val="Request By CategoryBY4"/>
      <sheetName val="Non Add  By Category PY"/>
      <sheetName val="Non Add  By Category CY"/>
      <sheetName val="Non Add By Category BY"/>
      <sheetName val="Non Add By Category BY1"/>
      <sheetName val="Non Add By Category BY2"/>
      <sheetName val="Non Add By Category BY3"/>
      <sheetName val="Non Add By Category BY4"/>
      <sheetName val="Budgetary Exp PY"/>
      <sheetName val="Budgetary Exp CY"/>
      <sheetName val="Budgetary Exp BY"/>
      <sheetName val="NonAdd Budgetary Exp PY"/>
      <sheetName val="NonAdd Budgetary Exp CY"/>
      <sheetName val="NonAdd Budgetary Exp BY"/>
      <sheetName val="Reimbursements PY"/>
      <sheetName val="Reimbursements CY"/>
      <sheetName val="Reimbursements BY"/>
      <sheetName val="Reimbursements BY1"/>
      <sheetName val="Reimbursements BY2"/>
      <sheetName val="Reimbursements BY3"/>
      <sheetName val="Reimbursements BY4"/>
      <sheetName val="Revenue PY"/>
      <sheetName val="Revenue CY "/>
      <sheetName val="Revenue BY"/>
      <sheetName val="Revenue BY1"/>
      <sheetName val="Revenue BY2"/>
      <sheetName val="Revenue BY3"/>
      <sheetName val="Revenue BY4"/>
      <sheetName val="Revenue Transfer"/>
      <sheetName val="Loans"/>
      <sheetName val="Loan Repayments"/>
      <sheetName val="Summary"/>
      <sheetName val="Lookups"/>
      <sheetName val="HCP Lookup"/>
      <sheetName val="Smartlist Lookup"/>
      <sheetName val="Change Log"/>
    </sheetNames>
    <sheetDataSet>
      <sheetData sheetId="0"/>
      <sheetData sheetId="1"/>
      <sheetData sheetId="2">
        <row r="2">
          <cell r="B2" t="str">
            <v>0001 - General Fund</v>
          </cell>
          <cell r="H2" t="str">
            <v>5432000 - Grants and Subventions - Gov</v>
          </cell>
        </row>
        <row r="3">
          <cell r="H3" t="str">
            <v>5432500 - Grants   Subventions - Non-Gov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4">
          <cell r="C4" t="str">
            <v>0000 - Legislator</v>
          </cell>
        </row>
      </sheetData>
      <sheetData sheetId="52"/>
      <sheetData sheetId="5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ayer - Total Sect - Agg"/>
      <sheetName val="Total Payer - Hsp - Agg"/>
      <sheetName val="Total Payer - Phy - Agg"/>
      <sheetName val="Total Payer - OPC - Agg"/>
      <sheetName val="Total Payer - Dnt - Agg"/>
      <sheetName val="Total Payer - HH - Agg"/>
      <sheetName val="Total Payer - RxON - Agg"/>
      <sheetName val="Total Payer -Dur - Agg"/>
      <sheetName val="Total Payer - NH - Agg"/>
      <sheetName val="Total Payer - Opers - Agg"/>
      <sheetName val="Total Payer - Total Sect -  PC"/>
      <sheetName val="Total Payer - Hsp - PC"/>
      <sheetName val="Total Payer - Phy - PC"/>
      <sheetName val="Total Payer - OPC - PC"/>
      <sheetName val="Total Payer - Dnt - PC"/>
      <sheetName val="Total Payer - HH - PC"/>
      <sheetName val="Total Payer - RxON - PC"/>
      <sheetName val="Total Payer - Dur - PC"/>
      <sheetName val="Total Payer - NH - PC"/>
      <sheetName val="Total Payer - Opers - PC"/>
      <sheetName val="Total US Population"/>
      <sheetName val="Medicare - Total Sect -  Agg"/>
      <sheetName val="Medicare - Total Sect -  PE"/>
      <sheetName val="Medicare Enrollment"/>
      <sheetName val="Medicaid - Total Sect -  Agg"/>
      <sheetName val="Medicaid - Total Sect -  PE"/>
      <sheetName val="Medicaid Enrollment"/>
      <sheetName val="Residence Agg Data"/>
      <sheetName val="Residence Per Cap Data"/>
      <sheetName val="VLOOKUP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3"/>
      <sheetName val="Table4"/>
      <sheetName val="Table5"/>
      <sheetName val="Table6"/>
      <sheetName val="Table7"/>
      <sheetName val="Table8"/>
      <sheetName val="Table9"/>
      <sheetName val="Table10"/>
      <sheetName val="Table11"/>
      <sheetName val="Table12"/>
      <sheetName val="Table13"/>
      <sheetName val="Table14"/>
      <sheetName val="Table15"/>
      <sheetName val="Label V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 xml:space="preserve">Table 3 </v>
          </cell>
        </row>
        <row r="4">
          <cell r="A4" t="str">
            <v xml:space="preserve">Table 4 </v>
          </cell>
        </row>
        <row r="5">
          <cell r="A5" t="str">
            <v xml:space="preserve">Table 5 </v>
          </cell>
        </row>
        <row r="6">
          <cell r="A6" t="str">
            <v xml:space="preserve">Table 6 </v>
          </cell>
        </row>
        <row r="7">
          <cell r="A7" t="str">
            <v xml:space="preserve">Table 7 </v>
          </cell>
        </row>
        <row r="8">
          <cell r="A8" t="str">
            <v xml:space="preserve">Table 8 </v>
          </cell>
        </row>
        <row r="9">
          <cell r="A9" t="str">
            <v xml:space="preserve">Table 9 </v>
          </cell>
        </row>
        <row r="10">
          <cell r="A10" t="str">
            <v>Table 10</v>
          </cell>
        </row>
        <row r="11">
          <cell r="A11" t="str">
            <v>Table 11</v>
          </cell>
        </row>
        <row r="12">
          <cell r="A12" t="str">
            <v>Table 12</v>
          </cell>
        </row>
        <row r="13">
          <cell r="A13" t="str">
            <v>Table 13</v>
          </cell>
        </row>
        <row r="14">
          <cell r="A14" t="str">
            <v>Table 14</v>
          </cell>
        </row>
        <row r="15">
          <cell r="A15" t="str">
            <v>Table 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ata.census.gov/cedsci/table?q=core%20business%20statistics%20california&amp;tid=ECNCOMP2012.EC1200CCOMP1"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kff.org/other/state-indicator/health-insurance-coverage-of-the-total-population-multiple-sources-of-coverage/?dataView=1&amp;currentTimeframe=0&amp;sortModel=%7B%22colId%22:%22Location%22,%22sort%22:%22asc%22%7D"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workbookViewId="0"/>
  </sheetViews>
  <sheetFormatPr defaultColWidth="8.81640625" defaultRowHeight="14.5"/>
  <cols>
    <col min="1" max="1" width="13.453125" customWidth="1"/>
    <col min="2" max="2" width="13.7265625" bestFit="1" customWidth="1"/>
    <col min="3" max="3" width="11.453125" bestFit="1" customWidth="1"/>
    <col min="4" max="4" width="14.453125" bestFit="1" customWidth="1"/>
    <col min="5" max="5" width="21.1796875" bestFit="1" customWidth="1"/>
    <col min="6" max="6" width="26" bestFit="1" customWidth="1"/>
  </cols>
  <sheetData>
    <row r="1" spans="1:6">
      <c r="A1" t="s">
        <v>347</v>
      </c>
    </row>
    <row r="2" spans="1:6" ht="29">
      <c r="B2" t="s">
        <v>366</v>
      </c>
      <c r="C2" t="s">
        <v>367</v>
      </c>
      <c r="D2" t="s">
        <v>368</v>
      </c>
      <c r="E2" s="217" t="s">
        <v>251</v>
      </c>
      <c r="F2" s="217" t="s">
        <v>1041</v>
      </c>
    </row>
    <row r="3" spans="1:6">
      <c r="A3" s="232" t="s">
        <v>373</v>
      </c>
      <c r="B3" s="232" t="s">
        <v>369</v>
      </c>
      <c r="C3" s="232" t="s">
        <v>370</v>
      </c>
      <c r="D3" s="232" t="s">
        <v>371</v>
      </c>
      <c r="E3" s="263" t="s">
        <v>300</v>
      </c>
      <c r="F3" s="263" t="s">
        <v>302</v>
      </c>
    </row>
    <row r="4" spans="1:6">
      <c r="A4" s="233" t="s">
        <v>169</v>
      </c>
      <c r="B4" s="233" t="s">
        <v>547</v>
      </c>
      <c r="C4" s="233" t="s">
        <v>370</v>
      </c>
      <c r="D4" s="232" t="s">
        <v>371</v>
      </c>
      <c r="E4" s="263" t="s">
        <v>301</v>
      </c>
      <c r="F4" s="263" t="s">
        <v>304</v>
      </c>
    </row>
    <row r="5" spans="1:6">
      <c r="A5" s="232" t="s">
        <v>171</v>
      </c>
      <c r="B5" s="232" t="s">
        <v>369</v>
      </c>
      <c r="C5" s="272" t="s">
        <v>354</v>
      </c>
      <c r="D5" s="232" t="s">
        <v>371</v>
      </c>
      <c r="E5" s="263" t="s">
        <v>303</v>
      </c>
      <c r="F5" s="263" t="s">
        <v>305</v>
      </c>
    </row>
    <row r="6" spans="1:6">
      <c r="A6" s="233" t="s">
        <v>170</v>
      </c>
      <c r="B6" s="232" t="s">
        <v>369</v>
      </c>
      <c r="C6" s="233" t="s">
        <v>370</v>
      </c>
      <c r="D6" s="273" t="s">
        <v>372</v>
      </c>
      <c r="E6" s="263" t="s">
        <v>306</v>
      </c>
      <c r="F6" s="263" t="s">
        <v>307</v>
      </c>
    </row>
    <row r="7" spans="1:6">
      <c r="A7" s="232" t="s">
        <v>374</v>
      </c>
      <c r="B7" s="232" t="s">
        <v>369</v>
      </c>
      <c r="C7" s="272" t="s">
        <v>354</v>
      </c>
      <c r="D7" s="273" t="s">
        <v>372</v>
      </c>
      <c r="E7" s="263" t="s">
        <v>308</v>
      </c>
      <c r="F7" s="263" t="s">
        <v>309</v>
      </c>
    </row>
    <row r="8" spans="1:6">
      <c r="A8" s="233" t="s">
        <v>375</v>
      </c>
      <c r="B8" s="233" t="s">
        <v>547</v>
      </c>
      <c r="C8" s="272" t="s">
        <v>354</v>
      </c>
      <c r="D8" s="273" t="s">
        <v>372</v>
      </c>
      <c r="E8" s="263" t="s">
        <v>364</v>
      </c>
      <c r="F8" s="12" t="s">
        <v>365</v>
      </c>
    </row>
    <row r="9" spans="1:6">
      <c r="A9" s="273" t="s">
        <v>548</v>
      </c>
      <c r="B9" s="273" t="s">
        <v>547</v>
      </c>
      <c r="C9" s="233" t="s">
        <v>370</v>
      </c>
      <c r="D9" s="273" t="s">
        <v>372</v>
      </c>
      <c r="E9" s="263" t="s">
        <v>554</v>
      </c>
      <c r="F9" s="12" t="s">
        <v>549</v>
      </c>
    </row>
    <row r="10" spans="1:6">
      <c r="A10" s="273" t="s">
        <v>550</v>
      </c>
      <c r="B10" s="273" t="s">
        <v>547</v>
      </c>
      <c r="C10" s="272" t="s">
        <v>354</v>
      </c>
      <c r="D10" s="273" t="s">
        <v>371</v>
      </c>
      <c r="E10" s="263" t="s">
        <v>555</v>
      </c>
      <c r="F10" s="12" t="s">
        <v>551</v>
      </c>
    </row>
    <row r="11" spans="1:6">
      <c r="A11" s="273"/>
      <c r="B11" s="273"/>
      <c r="D11" s="273"/>
    </row>
  </sheetData>
  <sheetProtection sheet="1" objects="1" scenarios="1"/>
  <phoneticPr fontId="13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zoomScale="75" zoomScaleNormal="75" workbookViewId="0">
      <selection activeCell="C8" sqref="C8"/>
    </sheetView>
  </sheetViews>
  <sheetFormatPr defaultColWidth="9.1796875" defaultRowHeight="14.5"/>
  <cols>
    <col min="1" max="1" width="56.453125" style="223" customWidth="1"/>
    <col min="2" max="4" width="17" style="219" customWidth="1"/>
    <col min="5" max="7" width="17" style="227" customWidth="1"/>
    <col min="8" max="10" width="9.1796875" style="219"/>
    <col min="11" max="11" width="9.81640625" style="219" bestFit="1" customWidth="1"/>
    <col min="12" max="12" width="9.1796875" style="219"/>
    <col min="13" max="13" width="9.81640625" style="219" bestFit="1" customWidth="1"/>
    <col min="14" max="16384" width="9.1796875" style="219"/>
  </cols>
  <sheetData>
    <row r="1" spans="1:13">
      <c r="B1" s="497"/>
      <c r="C1" s="497" t="s">
        <v>229</v>
      </c>
      <c r="D1" s="497"/>
      <c r="E1" s="498"/>
      <c r="F1" s="497" t="s">
        <v>230</v>
      </c>
      <c r="G1" s="497"/>
    </row>
    <row r="2" spans="1:13" ht="43.5">
      <c r="A2" s="224"/>
      <c r="B2" s="217" t="s">
        <v>2</v>
      </c>
      <c r="C2" s="217" t="s">
        <v>251</v>
      </c>
      <c r="D2" s="217" t="s">
        <v>1042</v>
      </c>
      <c r="E2" s="216" t="s">
        <v>2</v>
      </c>
      <c r="F2" s="217" t="s">
        <v>251</v>
      </c>
      <c r="G2" s="217" t="s">
        <v>1042</v>
      </c>
      <c r="H2" s="152"/>
      <c r="I2" s="217"/>
    </row>
    <row r="3" spans="1:13">
      <c r="A3" s="225" t="s">
        <v>328</v>
      </c>
      <c r="B3" s="218"/>
      <c r="C3" s="218"/>
      <c r="D3" s="218"/>
      <c r="E3" s="216"/>
      <c r="F3" s="217"/>
      <c r="G3" s="217"/>
      <c r="H3" s="152"/>
    </row>
    <row r="4" spans="1:13">
      <c r="A4" s="223" t="s">
        <v>3</v>
      </c>
      <c r="B4" s="226">
        <f>Baseline!J37</f>
        <v>517006.26873315335</v>
      </c>
      <c r="C4" s="226">
        <f>UF_Calculations_1!B18</f>
        <v>501156.9190844929</v>
      </c>
      <c r="D4" s="226">
        <f>UF_Calculations_1!B35</f>
        <v>504925.9331831712</v>
      </c>
      <c r="E4" s="220">
        <f>Baseline!S37</f>
        <v>850419.6679931503</v>
      </c>
      <c r="F4" s="226">
        <f>UF_Calculations_1!K18</f>
        <v>786451.80216822727</v>
      </c>
      <c r="G4" s="226">
        <f>UF_Calculations_1!K35</f>
        <v>793237.87346717366</v>
      </c>
      <c r="H4" s="152"/>
      <c r="K4" s="229"/>
    </row>
    <row r="5" spans="1:13">
      <c r="A5" s="223" t="s">
        <v>222</v>
      </c>
      <c r="C5" s="155">
        <f>-(B4-C4)/B4</f>
        <v>-3.0656010588608375E-2</v>
      </c>
      <c r="D5" s="155">
        <f>-(B4-D4)/B4</f>
        <v>-2.3365936315594794E-2</v>
      </c>
      <c r="E5" s="220"/>
      <c r="F5" s="155">
        <f>-(E4-F4)/E4</f>
        <v>-7.5219174993772911E-2</v>
      </c>
      <c r="G5" s="155">
        <f>-(E4-G4)/E4</f>
        <v>-6.723950148156406E-2</v>
      </c>
      <c r="H5" s="152"/>
      <c r="M5" s="229"/>
    </row>
    <row r="6" spans="1:13">
      <c r="A6" s="223" t="s">
        <v>264</v>
      </c>
      <c r="B6" s="268">
        <f>B4/Baseline!$J$3</f>
        <v>0.15356433502368083</v>
      </c>
      <c r="C6" s="268">
        <f>C4/Baseline!$J$3</f>
        <v>0.14885666514316226</v>
      </c>
      <c r="D6" s="268">
        <f>D4/Baseline!$J$3</f>
        <v>0.14997616055117083</v>
      </c>
      <c r="E6" s="193">
        <f>E4/Baseline!$S$3</f>
        <v>0.17095286541545412</v>
      </c>
      <c r="F6" s="268">
        <f>F4/Baseline!$S$3</f>
        <v>0.15809393191608215</v>
      </c>
      <c r="G6" s="268">
        <f>G4/Baseline!$S$3</f>
        <v>0.15945807996807407</v>
      </c>
      <c r="H6" s="152"/>
    </row>
    <row r="7" spans="1:13">
      <c r="E7" s="220"/>
      <c r="F7" s="226"/>
      <c r="G7" s="226"/>
      <c r="H7" s="152"/>
    </row>
    <row r="8" spans="1:13">
      <c r="A8" s="230" t="s">
        <v>329</v>
      </c>
      <c r="B8" s="218"/>
      <c r="C8" s="218"/>
      <c r="D8" s="218"/>
      <c r="E8" s="262"/>
      <c r="F8" s="228"/>
      <c r="G8" s="228"/>
    </row>
    <row r="9" spans="1:13">
      <c r="A9" s="223" t="s">
        <v>3</v>
      </c>
      <c r="B9" s="229">
        <f>B4</f>
        <v>517006.26873315335</v>
      </c>
      <c r="C9" s="226">
        <f>UF_Calculations_1!B52</f>
        <v>482226.40267381025</v>
      </c>
      <c r="D9" s="226">
        <f>UF_Calculations_1!B69</f>
        <v>486131.01569574745</v>
      </c>
      <c r="E9" s="220">
        <f>E4</f>
        <v>850419.6679931503</v>
      </c>
      <c r="F9" s="228">
        <f>UF_Calculations_1!K52</f>
        <v>756515.08958973701</v>
      </c>
      <c r="G9" s="228">
        <f>UF_Calculations_1!K69</f>
        <v>763487.6064782684</v>
      </c>
    </row>
    <row r="10" spans="1:13">
      <c r="A10" s="223" t="s">
        <v>222</v>
      </c>
      <c r="C10" s="155">
        <f>-(B9-C9)/B9</f>
        <v>-6.7271652517030336E-2</v>
      </c>
      <c r="D10" s="155">
        <f>-(B9-D9)/B9</f>
        <v>-5.9719301108400666E-2</v>
      </c>
      <c r="E10" s="220"/>
      <c r="F10" s="155">
        <f>-(E9-F9)/E9</f>
        <v>-0.11042145653217612</v>
      </c>
      <c r="G10" s="155">
        <f>-(E9-G9)/E9</f>
        <v>-0.10222254351199</v>
      </c>
    </row>
    <row r="11" spans="1:13">
      <c r="A11" s="223" t="s">
        <v>264</v>
      </c>
      <c r="B11" s="268">
        <f>B9/Baseline!$J$3</f>
        <v>0.15356433502368083</v>
      </c>
      <c r="C11" s="268">
        <f>C9/Baseline!$J$3</f>
        <v>0.14323380843895894</v>
      </c>
      <c r="D11" s="268">
        <f>D9/Baseline!$J$3</f>
        <v>0.1443935802608903</v>
      </c>
      <c r="E11" s="193">
        <f>E9/Baseline!$S$3</f>
        <v>0.17095286541545412</v>
      </c>
      <c r="F11" s="268">
        <f>F9/Baseline!$S$3</f>
        <v>0.15207600101793059</v>
      </c>
      <c r="G11" s="268">
        <f>G9/Baseline!$S$3</f>
        <v>0.15347762869202347</v>
      </c>
    </row>
    <row r="12" spans="1:13">
      <c r="E12" s="220"/>
      <c r="F12" s="228"/>
      <c r="G12" s="228"/>
    </row>
    <row r="13" spans="1:13">
      <c r="A13" s="230" t="s">
        <v>349</v>
      </c>
      <c r="B13" s="218"/>
      <c r="C13" s="218"/>
      <c r="D13" s="218"/>
      <c r="E13" s="220"/>
      <c r="F13" s="228"/>
      <c r="G13" s="228"/>
    </row>
    <row r="14" spans="1:13">
      <c r="A14" s="223" t="s">
        <v>3</v>
      </c>
      <c r="B14" s="229">
        <f>B4</f>
        <v>517006.26873315335</v>
      </c>
      <c r="C14" s="226">
        <f>UF_Calculations_1!B86</f>
        <v>501156.9190844929</v>
      </c>
      <c r="D14" s="226">
        <f>UF_Calculations_1!B103</f>
        <v>504925.9331831712</v>
      </c>
      <c r="E14" s="220">
        <f>E4</f>
        <v>850419.6679931503</v>
      </c>
      <c r="F14" s="228">
        <f>UF_Calculations_1!K86</f>
        <v>739474.39919602068</v>
      </c>
      <c r="G14" s="228">
        <f>UF_Calculations_1!K103</f>
        <v>745883.20397716924</v>
      </c>
    </row>
    <row r="15" spans="1:13">
      <c r="A15" s="223" t="s">
        <v>222</v>
      </c>
      <c r="C15" s="155">
        <f>-(B14-C14)/B14</f>
        <v>-3.0656010588608375E-2</v>
      </c>
      <c r="D15" s="155">
        <f>-(B14-D14)/B14</f>
        <v>-2.3365936315594794E-2</v>
      </c>
      <c r="E15" s="220"/>
      <c r="F15" s="155">
        <f>-(E14-F14)/E14</f>
        <v>-0.13045943429194448</v>
      </c>
      <c r="G15" s="155">
        <f>-(E14-G14)/E14</f>
        <v>-0.12292338471271463</v>
      </c>
    </row>
    <row r="16" spans="1:13">
      <c r="A16" s="223" t="s">
        <v>264</v>
      </c>
      <c r="B16" s="268">
        <f>B14/Baseline!$J$3</f>
        <v>0.15356433502368083</v>
      </c>
      <c r="C16" s="268">
        <f>C14/Baseline!$J$3</f>
        <v>0.14885666514316226</v>
      </c>
      <c r="D16" s="268">
        <f>D14/Baseline!$J$3</f>
        <v>0.14997616055117083</v>
      </c>
      <c r="E16" s="193">
        <f>E14/Baseline!$S$3</f>
        <v>0.17095286541545412</v>
      </c>
      <c r="F16" s="268">
        <f>F14/Baseline!$S$3</f>
        <v>0.14865045130276705</v>
      </c>
      <c r="G16" s="268">
        <f>G14/Baseline!$S$3</f>
        <v>0.14993876057224931</v>
      </c>
    </row>
    <row r="17" spans="1:8">
      <c r="E17" s="220"/>
      <c r="F17" s="228"/>
      <c r="G17" s="228"/>
    </row>
    <row r="18" spans="1:8">
      <c r="A18" s="230" t="s">
        <v>330</v>
      </c>
      <c r="B18" s="218"/>
      <c r="C18" s="218"/>
      <c r="D18" s="218"/>
      <c r="E18" s="220"/>
      <c r="F18" s="228"/>
      <c r="G18" s="228"/>
    </row>
    <row r="19" spans="1:8">
      <c r="A19" s="223" t="s">
        <v>3</v>
      </c>
      <c r="B19" s="284">
        <f>B4</f>
        <v>517006.26873315335</v>
      </c>
      <c r="C19" s="226">
        <f>UF_Calculations_1!B120</f>
        <v>527133.12310469057</v>
      </c>
      <c r="D19" s="226">
        <f>UF_Calculations_1!B137</f>
        <v>532255.98038688442</v>
      </c>
      <c r="E19" s="220">
        <f>E4</f>
        <v>850419.6679931503</v>
      </c>
      <c r="F19" s="228">
        <f>UF_Calculations_1!K120</f>
        <v>827265.54945649963</v>
      </c>
      <c r="G19" s="228">
        <f>UF_Calculations_1!K137</f>
        <v>836156.63727641897</v>
      </c>
    </row>
    <row r="20" spans="1:8">
      <c r="A20" s="223" t="s">
        <v>222</v>
      </c>
      <c r="B20" s="152"/>
      <c r="C20" s="155">
        <f>-(B19-C19)/B19</f>
        <v>1.9587488554735643E-2</v>
      </c>
      <c r="D20" s="155">
        <f>-(B19-D19)/B19</f>
        <v>2.9496183268915104E-2</v>
      </c>
      <c r="E20" s="220"/>
      <c r="F20" s="155">
        <f>-(E19-F19)/E19</f>
        <v>-2.7226696898121554E-2</v>
      </c>
      <c r="G20" s="155">
        <f>-(E19-G19)/E19</f>
        <v>-1.6771755467967622E-2</v>
      </c>
    </row>
    <row r="21" spans="1:8">
      <c r="A21" s="223" t="s">
        <v>264</v>
      </c>
      <c r="B21" s="282">
        <f>B19/Baseline!$J$3</f>
        <v>0.15356433502368083</v>
      </c>
      <c r="C21" s="282">
        <f>C19/Baseline!$J$3</f>
        <v>0.15657227467837276</v>
      </c>
      <c r="D21" s="282">
        <f>D19/Baseline!$J$3</f>
        <v>0.1580938967931084</v>
      </c>
      <c r="E21" s="193">
        <f>E19/Baseline!$S$3</f>
        <v>0.17095286541545412</v>
      </c>
      <c r="F21" s="268">
        <f>F19/Baseline!$S$3</f>
        <v>0.16629838356492219</v>
      </c>
      <c r="G21" s="268">
        <f>G19/Baseline!$S$3</f>
        <v>0.16808568576015773</v>
      </c>
      <c r="H21" s="152"/>
    </row>
    <row r="22" spans="1:8">
      <c r="B22" s="152"/>
      <c r="C22" s="152"/>
      <c r="D22" s="152"/>
      <c r="E22" s="221"/>
      <c r="F22" s="153"/>
      <c r="G22" s="153"/>
      <c r="H22" s="152"/>
    </row>
    <row r="23" spans="1:8">
      <c r="A23" s="230" t="s">
        <v>331</v>
      </c>
      <c r="B23" s="283"/>
      <c r="C23" s="283"/>
      <c r="D23" s="283"/>
      <c r="E23" s="220"/>
      <c r="F23" s="228"/>
      <c r="G23" s="228"/>
    </row>
    <row r="24" spans="1:8">
      <c r="A24" s="223" t="s">
        <v>3</v>
      </c>
      <c r="B24" s="284">
        <f>B9</f>
        <v>517006.26873315335</v>
      </c>
      <c r="C24" s="226">
        <f>UF_Calculations_1!B154</f>
        <v>527133.12310469057</v>
      </c>
      <c r="D24" s="226">
        <f>UF_Calculations_1!B171</f>
        <v>532255.98038688442</v>
      </c>
      <c r="E24" s="220">
        <f>E9</f>
        <v>850419.6679931503</v>
      </c>
      <c r="F24" s="226">
        <f>UF_Calculations_1!K154</f>
        <v>778015.97184871288</v>
      </c>
      <c r="G24" s="228">
        <f>UF_Calculations_1!K171</f>
        <v>786415.63611121778</v>
      </c>
    </row>
    <row r="25" spans="1:8">
      <c r="A25" s="223" t="s">
        <v>222</v>
      </c>
      <c r="C25" s="155">
        <f>-(B24-C24)/B24</f>
        <v>1.9587488554735643E-2</v>
      </c>
      <c r="D25" s="155">
        <f>-(B24-D24)/B24</f>
        <v>2.9496183268915104E-2</v>
      </c>
      <c r="E25" s="220"/>
      <c r="F25" s="155">
        <f>-(E24-F24)/E24</f>
        <v>-8.5138783672887242E-2</v>
      </c>
      <c r="G25" s="155">
        <f>-(E24-G24)/E24</f>
        <v>-7.5261702299255898E-2</v>
      </c>
    </row>
    <row r="26" spans="1:8">
      <c r="A26" s="223" t="s">
        <v>264</v>
      </c>
      <c r="B26" s="268">
        <f>B24/Baseline!$J$3</f>
        <v>0.15356433502368083</v>
      </c>
      <c r="C26" s="282">
        <f>C24/Baseline!$J$3</f>
        <v>0.15657227467837276</v>
      </c>
      <c r="D26" s="282">
        <f>D24/Baseline!$J$3</f>
        <v>0.1580938967931084</v>
      </c>
      <c r="E26" s="193">
        <f>E24/Baseline!$S$3</f>
        <v>0.17095286541545412</v>
      </c>
      <c r="F26" s="268">
        <f>F24/Baseline!$S$3</f>
        <v>0.15639814638858757</v>
      </c>
      <c r="G26" s="268">
        <f>G24/Baseline!$S$3</f>
        <v>0.15808666175135144</v>
      </c>
      <c r="H26" s="152"/>
    </row>
    <row r="27" spans="1:8">
      <c r="E27" s="380"/>
      <c r="F27" s="153"/>
      <c r="G27" s="153"/>
      <c r="H27" s="152"/>
    </row>
    <row r="28" spans="1:8">
      <c r="A28" s="230" t="s">
        <v>566</v>
      </c>
      <c r="E28" s="380"/>
      <c r="F28" s="153"/>
      <c r="G28" s="153"/>
      <c r="H28" s="152"/>
    </row>
    <row r="29" spans="1:8">
      <c r="A29" s="223" t="s">
        <v>3</v>
      </c>
      <c r="B29" s="284">
        <f>B4</f>
        <v>517006.26873315335</v>
      </c>
      <c r="C29" s="226">
        <f>UF_Calculations_1!B188</f>
        <v>508186.973448848</v>
      </c>
      <c r="D29" s="226">
        <f>UF_Calculations_1!B205</f>
        <v>513460.21731490677</v>
      </c>
      <c r="E29" s="220">
        <f>E4</f>
        <v>850419.6679931503</v>
      </c>
      <c r="F29" s="226">
        <f>UF_Calculations_1!K188</f>
        <v>750934.56700184674</v>
      </c>
      <c r="G29" s="228">
        <f>UF_Calculations_1!K205</f>
        <v>758598.49249337649</v>
      </c>
    </row>
    <row r="30" spans="1:8">
      <c r="A30" s="223" t="s">
        <v>222</v>
      </c>
      <c r="C30" s="155">
        <f>-(B29-C29)/B29</f>
        <v>-1.7058391392266319E-2</v>
      </c>
      <c r="D30" s="155">
        <f>-(B29-D29)/B29</f>
        <v>-6.8588170641250721E-3</v>
      </c>
      <c r="E30" s="380"/>
      <c r="F30" s="155">
        <f>-(E29-F29)/E29</f>
        <v>-0.11698353734700415</v>
      </c>
      <c r="G30" s="155">
        <f>-(E29-G29)/E29</f>
        <v>-0.10797160385113928</v>
      </c>
      <c r="H30" s="152"/>
    </row>
    <row r="31" spans="1:8">
      <c r="A31" s="223" t="s">
        <v>264</v>
      </c>
      <c r="B31" s="268">
        <f>B29/Baseline!$J$3</f>
        <v>0.15356433502368083</v>
      </c>
      <c r="C31" s="282">
        <f>C29/Baseline!$J$3</f>
        <v>0.15094477449295376</v>
      </c>
      <c r="D31" s="282">
        <f>D29/Baseline!$J$3</f>
        <v>0.1525110653421794</v>
      </c>
      <c r="E31" s="193">
        <f>E29/Baseline!$S$3</f>
        <v>0.17095286541545412</v>
      </c>
      <c r="F31" s="268">
        <f>F29/Baseline!$S$3</f>
        <v>0.15095419449954797</v>
      </c>
      <c r="G31" s="268">
        <f>G29/Baseline!$S$3</f>
        <v>0.15249481035359957</v>
      </c>
      <c r="H31" s="152"/>
    </row>
    <row r="32" spans="1:8">
      <c r="E32" s="221"/>
      <c r="F32" s="153"/>
      <c r="G32" s="153"/>
      <c r="H32" s="152"/>
    </row>
    <row r="33" spans="1:7">
      <c r="A33" s="230" t="s">
        <v>539</v>
      </c>
      <c r="E33" s="380"/>
    </row>
    <row r="34" spans="1:7">
      <c r="A34" s="223" t="s">
        <v>3</v>
      </c>
      <c r="B34" s="229">
        <f>B4</f>
        <v>517006.26873315335</v>
      </c>
      <c r="C34" s="226">
        <f>UF_Calculations_1!B222</f>
        <v>508186.973448848</v>
      </c>
      <c r="D34" s="226">
        <f>UF_Calculations_1!B239</f>
        <v>513460.21731490677</v>
      </c>
      <c r="E34" s="220">
        <f>E9</f>
        <v>850419.6679931503</v>
      </c>
      <c r="F34" s="226">
        <f>UF_Calculations_1!K222</f>
        <v>797244.56124978757</v>
      </c>
      <c r="G34" s="228">
        <f>UF_Calculations_1!K239</f>
        <v>806404.92374320992</v>
      </c>
    </row>
    <row r="35" spans="1:7">
      <c r="A35" s="223" t="s">
        <v>222</v>
      </c>
      <c r="C35" s="155">
        <f>-(B34-C34)/B34</f>
        <v>-1.7058391392266319E-2</v>
      </c>
      <c r="D35" s="155">
        <f>-(B34-D34)/B34</f>
        <v>-6.8588170641250721E-3</v>
      </c>
      <c r="E35" s="380"/>
      <c r="F35" s="155">
        <f>-(E34-F34)/E34</f>
        <v>-6.2528077306639895E-2</v>
      </c>
      <c r="G35" s="155">
        <f>-(E34-G34)/E34</f>
        <v>-5.1756498475403208E-2</v>
      </c>
    </row>
    <row r="36" spans="1:7">
      <c r="A36" s="223" t="s">
        <v>264</v>
      </c>
      <c r="B36" s="268">
        <f>B34/Baseline!$J$3</f>
        <v>0.15356433502368083</v>
      </c>
      <c r="C36" s="282">
        <f>C34/Baseline!$J$3</f>
        <v>0.15094477449295376</v>
      </c>
      <c r="D36" s="282">
        <f>D34/Baseline!$J$3</f>
        <v>0.1525110653421794</v>
      </c>
      <c r="E36" s="193">
        <f>E34/Baseline!$S$3</f>
        <v>0.17095286541545412</v>
      </c>
      <c r="F36" s="268">
        <f>F34/Baseline!$S$3</f>
        <v>0.16026351143096498</v>
      </c>
      <c r="G36" s="268">
        <f>G34/Baseline!$S$3</f>
        <v>0.16210494369721334</v>
      </c>
    </row>
    <row r="37" spans="1:7">
      <c r="E37" s="380"/>
    </row>
    <row r="38" spans="1:7">
      <c r="A38" s="230" t="s">
        <v>567</v>
      </c>
      <c r="E38" s="380"/>
    </row>
    <row r="39" spans="1:7">
      <c r="A39" s="223" t="s">
        <v>3</v>
      </c>
      <c r="B39" s="229">
        <f>B4</f>
        <v>517006.26873315335</v>
      </c>
      <c r="C39" s="226">
        <f>UF_Calculations_1!B256</f>
        <v>482226.40267381025</v>
      </c>
      <c r="D39" s="226">
        <f>UF_Calculations_1!B273</f>
        <v>486131.01569574745</v>
      </c>
      <c r="E39" s="220">
        <f>E14</f>
        <v>850419.6679931503</v>
      </c>
      <c r="F39" s="226">
        <f>UF_Calculations_1!K256</f>
        <v>712465.12705518503</v>
      </c>
      <c r="G39" s="228">
        <f>UF_Calculations_1!K273</f>
        <v>718062.68211752735</v>
      </c>
    </row>
    <row r="40" spans="1:7">
      <c r="A40" s="223" t="s">
        <v>222</v>
      </c>
      <c r="C40" s="155">
        <f>-(B39-C39)/B39</f>
        <v>-6.7271652517030336E-2</v>
      </c>
      <c r="D40" s="155">
        <f>-(B39-D39)/B39</f>
        <v>-5.9719301108400666E-2</v>
      </c>
      <c r="E40" s="380"/>
      <c r="F40" s="155">
        <f>-(E39-F39)/E39</f>
        <v>-0.16221936783695884</v>
      </c>
      <c r="G40" s="155">
        <f>-(E39-G39)/E39</f>
        <v>-0.15563725870541487</v>
      </c>
    </row>
    <row r="41" spans="1:7">
      <c r="A41" s="223" t="s">
        <v>264</v>
      </c>
      <c r="B41" s="268">
        <f>B39/Baseline!$J$3</f>
        <v>0.15356433502368083</v>
      </c>
      <c r="C41" s="282">
        <f>C39/Baseline!$J$3</f>
        <v>0.14323380843895894</v>
      </c>
      <c r="D41" s="282">
        <f>D39/Baseline!$J$3</f>
        <v>0.1443935802608903</v>
      </c>
      <c r="E41" s="193">
        <f>E39/Baseline!$S$3</f>
        <v>0.17095286541545412</v>
      </c>
      <c r="F41" s="268">
        <f>F39/Baseline!$S$3</f>
        <v>0.14322099965784243</v>
      </c>
      <c r="G41" s="268">
        <f>G39/Baseline!$S$3</f>
        <v>0.14434623007435712</v>
      </c>
    </row>
    <row r="42" spans="1:7">
      <c r="C42" s="229"/>
    </row>
    <row r="43" spans="1:7">
      <c r="C43" s="2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workbookViewId="0">
      <selection sqref="A1:XFD1048576"/>
    </sheetView>
  </sheetViews>
  <sheetFormatPr defaultColWidth="8.81640625" defaultRowHeight="14.5"/>
  <cols>
    <col min="1" max="1" width="63.453125" bestFit="1" customWidth="1"/>
    <col min="2" max="17" width="10" bestFit="1" customWidth="1"/>
  </cols>
  <sheetData>
    <row r="1" spans="1:17">
      <c r="A1">
        <v>2022</v>
      </c>
      <c r="B1" t="s">
        <v>300</v>
      </c>
      <c r="C1" t="s">
        <v>302</v>
      </c>
      <c r="D1" t="s">
        <v>301</v>
      </c>
      <c r="E1" t="s">
        <v>304</v>
      </c>
      <c r="F1" t="s">
        <v>303</v>
      </c>
      <c r="G1" t="s">
        <v>305</v>
      </c>
      <c r="H1" t="s">
        <v>306</v>
      </c>
      <c r="I1" t="s">
        <v>307</v>
      </c>
      <c r="J1" t="s">
        <v>308</v>
      </c>
      <c r="K1" t="s">
        <v>309</v>
      </c>
      <c r="L1" t="s">
        <v>364</v>
      </c>
      <c r="M1" t="s">
        <v>365</v>
      </c>
      <c r="N1" t="s">
        <v>554</v>
      </c>
      <c r="O1" t="s">
        <v>549</v>
      </c>
      <c r="P1" t="s">
        <v>555</v>
      </c>
      <c r="Q1" t="s">
        <v>551</v>
      </c>
    </row>
    <row r="2" spans="1:17">
      <c r="A2" t="s">
        <v>4</v>
      </c>
      <c r="B2" s="17">
        <f>UF_Calculations_1!B3</f>
        <v>163701.34411711179</v>
      </c>
      <c r="C2" s="17">
        <f>UF_Calculations_1!B20</f>
        <v>162453.2654677745</v>
      </c>
      <c r="D2" s="17">
        <f>UF_Calculations_1!B37</f>
        <v>158762.07942392305</v>
      </c>
      <c r="E2" s="17">
        <f>UF_Calculations_1!B54</f>
        <v>157551.65832003992</v>
      </c>
      <c r="F2" s="17">
        <f>UF_Calculations_1!B71</f>
        <v>163701.34411711179</v>
      </c>
      <c r="G2" s="17">
        <f>UF_Calculations_1!B88</f>
        <v>162453.2654677745</v>
      </c>
      <c r="H2" s="17">
        <f>UF_Calculations_1!B105</f>
        <v>163701.34411711179</v>
      </c>
      <c r="I2" s="17">
        <f>UF_Calculations_1!B122</f>
        <v>162453.2654677745</v>
      </c>
      <c r="J2" s="17">
        <f>UF_Calculations_1!B139</f>
        <v>163701.34411711179</v>
      </c>
      <c r="K2" s="17">
        <f>UF_Calculations_1!B156</f>
        <v>162453.2654677745</v>
      </c>
      <c r="L2" s="17">
        <f>UF_Calculations_1!B173</f>
        <v>158762.07942392305</v>
      </c>
      <c r="M2" s="17">
        <f>UF_Calculations_1!B190</f>
        <v>157551.65832003992</v>
      </c>
      <c r="N2" s="17">
        <f>UF_Calculations_1!B207</f>
        <v>158762.07942392305</v>
      </c>
      <c r="O2" s="17">
        <f>UF_Calculations_1!B224</f>
        <v>157551.65832003992</v>
      </c>
      <c r="P2" s="17">
        <f>UF_Calculations_1!B241</f>
        <v>158762.07942392305</v>
      </c>
      <c r="Q2" s="17">
        <f>UF_Calculations_1!B258</f>
        <v>157551.65832003992</v>
      </c>
    </row>
    <row r="3" spans="1:17">
      <c r="A3" t="s">
        <v>5</v>
      </c>
      <c r="B3" s="17">
        <f>UF_Calculations_1!B4</f>
        <v>123004.95380599918</v>
      </c>
      <c r="C3" s="17">
        <f>UF_Calculations_1!B21</f>
        <v>119740.67145279271</v>
      </c>
      <c r="D3" s="17">
        <f>UF_Calculations_1!B38</f>
        <v>115850.48024547381</v>
      </c>
      <c r="E3" s="17">
        <f>UF_Calculations_1!B55</f>
        <v>112776.06196739181</v>
      </c>
      <c r="F3" s="17">
        <f>UF_Calculations_1!B72</f>
        <v>123004.95380599918</v>
      </c>
      <c r="G3" s="17">
        <f>UF_Calculations_1!B89</f>
        <v>119740.67145279271</v>
      </c>
      <c r="H3" s="17">
        <f>UF_Calculations_1!B106</f>
        <v>123004.95380599918</v>
      </c>
      <c r="I3" s="17">
        <f>UF_Calculations_1!B123</f>
        <v>119740.67145279271</v>
      </c>
      <c r="J3" s="17">
        <f>UF_Calculations_1!B140</f>
        <v>123004.95380599918</v>
      </c>
      <c r="K3" s="17">
        <f>UF_Calculations_1!B157</f>
        <v>119740.67145279271</v>
      </c>
      <c r="L3" s="17">
        <f>UF_Calculations_1!B174</f>
        <v>115850.48024547381</v>
      </c>
      <c r="M3" s="17">
        <f>UF_Calculations_1!B191</f>
        <v>112776.06196739181</v>
      </c>
      <c r="N3" s="17">
        <f>UF_Calculations_1!B208</f>
        <v>115850.48024547381</v>
      </c>
      <c r="O3" s="17">
        <f>UF_Calculations_1!B225</f>
        <v>112776.06196739181</v>
      </c>
      <c r="P3" s="17">
        <f>UF_Calculations_1!B242</f>
        <v>115850.48024547381</v>
      </c>
      <c r="Q3" s="17">
        <f>UF_Calculations_1!B259</f>
        <v>112776.06196739181</v>
      </c>
    </row>
    <row r="4" spans="1:17">
      <c r="A4" t="s">
        <v>6</v>
      </c>
      <c r="B4" s="17">
        <f>UF_Calculations_1!B5</f>
        <v>14846.36606553379</v>
      </c>
      <c r="C4" s="17">
        <f>UF_Calculations_1!B22</f>
        <v>14324.075326181735</v>
      </c>
      <c r="D4" s="17">
        <f>UF_Calculations_1!B39</f>
        <v>13982.840409052773</v>
      </c>
      <c r="E4" s="17">
        <f>UF_Calculations_1!B56</f>
        <v>13490.92824527821</v>
      </c>
      <c r="F4" s="17">
        <f>UF_Calculations_1!B73</f>
        <v>14846.36606553379</v>
      </c>
      <c r="G4" s="17">
        <f>UF_Calculations_1!B90</f>
        <v>14324.075326181735</v>
      </c>
      <c r="H4" s="17">
        <f>UF_Calculations_1!B107</f>
        <v>14846.36606553379</v>
      </c>
      <c r="I4" s="17">
        <f>UF_Calculations_1!B124</f>
        <v>14324.075326181735</v>
      </c>
      <c r="J4" s="17">
        <f>UF_Calculations_1!B141</f>
        <v>14846.36606553379</v>
      </c>
      <c r="K4" s="17">
        <f>UF_Calculations_1!B158</f>
        <v>14324.075326181735</v>
      </c>
      <c r="L4" s="17">
        <f>UF_Calculations_1!B175</f>
        <v>13982.840409052773</v>
      </c>
      <c r="M4" s="17">
        <f>UF_Calculations_1!B192</f>
        <v>13490.92824527821</v>
      </c>
      <c r="N4" s="17">
        <f>UF_Calculations_1!B209</f>
        <v>13982.840409052773</v>
      </c>
      <c r="O4" s="17">
        <f>UF_Calculations_1!B226</f>
        <v>13490.92824527821</v>
      </c>
      <c r="P4" s="17">
        <f>UF_Calculations_1!B243</f>
        <v>13982.840409052773</v>
      </c>
      <c r="Q4" s="17">
        <f>UF_Calculations_1!B260</f>
        <v>13490.92824527821</v>
      </c>
    </row>
    <row r="5" spans="1:17">
      <c r="A5" t="s">
        <v>7</v>
      </c>
      <c r="B5" s="17">
        <f>UF_Calculations_1!B6</f>
        <v>24941.422865988508</v>
      </c>
      <c r="C5" s="17">
        <f>UF_Calculations_1!B23</f>
        <v>24063.991033062659</v>
      </c>
      <c r="D5" s="17">
        <f>UF_Calculations_1!B40</f>
        <v>23490.727223778569</v>
      </c>
      <c r="E5" s="17">
        <f>UF_Calculations_1!B57</f>
        <v>22664.330431764425</v>
      </c>
      <c r="F5" s="17">
        <f>UF_Calculations_1!B74</f>
        <v>24941.422865988508</v>
      </c>
      <c r="G5" s="17">
        <f>UF_Calculations_1!B91</f>
        <v>24063.991033062659</v>
      </c>
      <c r="H5" s="17">
        <f>UF_Calculations_1!B108</f>
        <v>24941.422865988508</v>
      </c>
      <c r="I5" s="17">
        <f>UF_Calculations_1!B125</f>
        <v>24063.991033062659</v>
      </c>
      <c r="J5" s="17">
        <f>UF_Calculations_1!B142</f>
        <v>24941.422865988508</v>
      </c>
      <c r="K5" s="17">
        <f>UF_Calculations_1!B159</f>
        <v>24063.991033062659</v>
      </c>
      <c r="L5" s="17">
        <f>UF_Calculations_1!B176</f>
        <v>23490.727223778569</v>
      </c>
      <c r="M5" s="17">
        <f>UF_Calculations_1!B193</f>
        <v>22664.330431764425</v>
      </c>
      <c r="N5" s="17">
        <f>UF_Calculations_1!B210</f>
        <v>23490.727223778569</v>
      </c>
      <c r="O5" s="17">
        <f>UF_Calculations_1!B227</f>
        <v>22664.330431764425</v>
      </c>
      <c r="P5" s="17">
        <f>UF_Calculations_1!B244</f>
        <v>23490.727223778569</v>
      </c>
      <c r="Q5" s="17">
        <f>UF_Calculations_1!B261</f>
        <v>22664.330431764425</v>
      </c>
    </row>
    <row r="6" spans="1:17">
      <c r="A6" t="s">
        <v>8</v>
      </c>
      <c r="B6" s="17">
        <f>UF_Calculations_1!B7</f>
        <v>27504.113438370092</v>
      </c>
      <c r="C6" s="17">
        <f>UF_Calculations_1!B24</f>
        <v>28096.874696395342</v>
      </c>
      <c r="D6" s="17">
        <f>UF_Calculations_1!B41</f>
        <v>27504.113438370092</v>
      </c>
      <c r="E6" s="17">
        <f>UF_Calculations_1!B58</f>
        <v>28096.874696395342</v>
      </c>
      <c r="F6" s="17">
        <f>UF_Calculations_1!B75</f>
        <v>27504.113438370092</v>
      </c>
      <c r="G6" s="17">
        <f>UF_Calculations_1!B92</f>
        <v>28096.874696395342</v>
      </c>
      <c r="H6" s="17">
        <f>UF_Calculations_1!B109</f>
        <v>52286.231772280262</v>
      </c>
      <c r="I6" s="17">
        <f>UF_Calculations_1!B126</f>
        <v>53413.090581679266</v>
      </c>
      <c r="J6" s="17">
        <f>UF_Calculations_1!B143</f>
        <v>52286.231772280262</v>
      </c>
      <c r="K6" s="17">
        <f>UF_Calculations_1!B160</f>
        <v>53413.090581679266</v>
      </c>
      <c r="L6" s="17">
        <f>UF_Calculations_1!B177</f>
        <v>52286.231772280262</v>
      </c>
      <c r="M6" s="17">
        <f>UF_Calculations_1!B194</f>
        <v>53413.090581679266</v>
      </c>
      <c r="N6" s="17">
        <f>UF_Calculations_1!B211</f>
        <v>52286.231772280262</v>
      </c>
      <c r="O6" s="17">
        <f>UF_Calculations_1!B228</f>
        <v>53413.090581679266</v>
      </c>
      <c r="P6" s="17">
        <f>UF_Calculations_1!B245</f>
        <v>27504.113438370092</v>
      </c>
      <c r="Q6" s="17">
        <f>UF_Calculations_1!B262</f>
        <v>28096.874696395342</v>
      </c>
    </row>
    <row r="7" spans="1:17">
      <c r="A7" t="s">
        <v>9</v>
      </c>
      <c r="B7" s="17">
        <f>UF_Calculations_1!B8</f>
        <v>20867.90919503873</v>
      </c>
      <c r="C7" s="17">
        <f>UF_Calculations_1!B25</f>
        <v>20133.782360626981</v>
      </c>
      <c r="D7" s="17">
        <f>UF_Calculations_1!B42</f>
        <v>19654.145846655058</v>
      </c>
      <c r="E7" s="17">
        <f>UF_Calculations_1!B59</f>
        <v>18962.718845578111</v>
      </c>
      <c r="F7" s="17">
        <f>UF_Calculations_1!B76</f>
        <v>20867.90919503873</v>
      </c>
      <c r="G7" s="17">
        <f>UF_Calculations_1!B93</f>
        <v>20133.782360626981</v>
      </c>
      <c r="H7" s="17">
        <f>UF_Calculations_1!B110</f>
        <v>20867.90919503873</v>
      </c>
      <c r="I7" s="17">
        <f>UF_Calculations_1!B127</f>
        <v>20133.782360626981</v>
      </c>
      <c r="J7" s="17">
        <f>UF_Calculations_1!B144</f>
        <v>20867.90919503873</v>
      </c>
      <c r="K7" s="17">
        <f>UF_Calculations_1!B161</f>
        <v>20133.782360626981</v>
      </c>
      <c r="L7" s="17">
        <f>UF_Calculations_1!B178</f>
        <v>19654.145846655058</v>
      </c>
      <c r="M7" s="17">
        <f>UF_Calculations_1!B195</f>
        <v>18962.718845578111</v>
      </c>
      <c r="N7" s="17">
        <f>UF_Calculations_1!B212</f>
        <v>19654.145846655058</v>
      </c>
      <c r="O7" s="17">
        <f>UF_Calculations_1!B229</f>
        <v>18962.718845578111</v>
      </c>
      <c r="P7" s="17">
        <f>UF_Calculations_1!B246</f>
        <v>19654.145846655058</v>
      </c>
      <c r="Q7" s="17">
        <f>UF_Calculations_1!B263</f>
        <v>18962.718845578111</v>
      </c>
    </row>
    <row r="8" spans="1:17">
      <c r="A8" t="s">
        <v>10</v>
      </c>
      <c r="B8" s="17">
        <f>UF_Calculations_1!B9</f>
        <v>17757.579038677741</v>
      </c>
      <c r="C8" s="17">
        <f>UF_Calculations_1!B26</f>
        <v>18140.285607789145</v>
      </c>
      <c r="D8" s="17">
        <f>UF_Calculations_1!B43</f>
        <v>17757.579038677741</v>
      </c>
      <c r="E8" s="17">
        <f>UF_Calculations_1!B60</f>
        <v>18140.285607789145</v>
      </c>
      <c r="F8" s="17">
        <f>UF_Calculations_1!B77</f>
        <v>17757.579038677741</v>
      </c>
      <c r="G8" s="17">
        <f>UF_Calculations_1!B94</f>
        <v>18140.285607789145</v>
      </c>
      <c r="H8" s="17">
        <f>UF_Calculations_1!B111</f>
        <v>17757.579038677741</v>
      </c>
      <c r="I8" s="17">
        <f>UF_Calculations_1!B128</f>
        <v>18140.285607789145</v>
      </c>
      <c r="J8" s="17">
        <f>UF_Calculations_1!B145</f>
        <v>17757.579038677741</v>
      </c>
      <c r="K8" s="17">
        <f>UF_Calculations_1!B162</f>
        <v>18140.285607789145</v>
      </c>
      <c r="L8" s="17">
        <f>UF_Calculations_1!B179</f>
        <v>17757.579038677741</v>
      </c>
      <c r="M8" s="17">
        <f>UF_Calculations_1!B196</f>
        <v>18140.285607789145</v>
      </c>
      <c r="N8" s="17">
        <f>UF_Calculations_1!B213</f>
        <v>17757.579038677741</v>
      </c>
      <c r="O8" s="17">
        <f>UF_Calculations_1!B230</f>
        <v>18140.285607789145</v>
      </c>
      <c r="P8" s="17">
        <f>UF_Calculations_1!B247</f>
        <v>17757.579038677741</v>
      </c>
      <c r="Q8" s="17">
        <f>UF_Calculations_1!B264</f>
        <v>18140.285607789145</v>
      </c>
    </row>
    <row r="9" spans="1:17">
      <c r="A9" t="s">
        <v>18</v>
      </c>
      <c r="B9" s="17">
        <f>UF_Calculations_1!B10</f>
        <v>30129.715383992829</v>
      </c>
      <c r="C9" s="17">
        <f>UF_Calculations_1!B27</f>
        <v>28600.194242264795</v>
      </c>
      <c r="D9" s="17">
        <f>UF_Calculations_1!B44</f>
        <v>28377.247329406087</v>
      </c>
      <c r="E9" s="17">
        <f>UF_Calculations_1!B61</f>
        <v>26936.689422329699</v>
      </c>
      <c r="F9" s="17">
        <f>UF_Calculations_1!B78</f>
        <v>30129.715383992829</v>
      </c>
      <c r="G9" s="17">
        <f>UF_Calculations_1!B95</f>
        <v>28600.194242264795</v>
      </c>
      <c r="H9" s="17">
        <f>UF_Calculations_1!B112</f>
        <v>30129.715383992829</v>
      </c>
      <c r="I9" s="17">
        <f>UF_Calculations_1!B129</f>
        <v>28600.194242264795</v>
      </c>
      <c r="J9" s="17">
        <f>UF_Calculations_1!B146</f>
        <v>30129.715383992829</v>
      </c>
      <c r="K9" s="17">
        <f>UF_Calculations_1!B163</f>
        <v>28600.194242264795</v>
      </c>
      <c r="L9" s="17">
        <f>UF_Calculations_1!B180</f>
        <v>28377.247329406087</v>
      </c>
      <c r="M9" s="17">
        <f>UF_Calculations_1!B197</f>
        <v>26936.689422329699</v>
      </c>
      <c r="N9" s="17">
        <f>UF_Calculations_1!B214</f>
        <v>28377.247329406087</v>
      </c>
      <c r="O9" s="17">
        <f>UF_Calculations_1!B231</f>
        <v>26936.689422329699</v>
      </c>
      <c r="P9" s="17">
        <f>UF_Calculations_1!B248</f>
        <v>28377.247329406087</v>
      </c>
      <c r="Q9" s="17">
        <f>UF_Calculations_1!B265</f>
        <v>26936.689422329699</v>
      </c>
    </row>
    <row r="10" spans="1:17">
      <c r="A10" t="s">
        <v>16</v>
      </c>
      <c r="B10" s="17">
        <f>UF_Calculations_1!B11</f>
        <v>9782.1964709051808</v>
      </c>
      <c r="C10" s="17">
        <f>UF_Calculations_1!B28</f>
        <v>9438.0617106060163</v>
      </c>
      <c r="D10" s="17">
        <f>UF_Calculations_1!B45</f>
        <v>9782.1964709051808</v>
      </c>
      <c r="E10" s="17">
        <f>UF_Calculations_1!B62</f>
        <v>9438.0617106060163</v>
      </c>
      <c r="F10" s="17">
        <f>UF_Calculations_1!B79</f>
        <v>9782.1964709051808</v>
      </c>
      <c r="G10" s="17">
        <f>UF_Calculations_1!B96</f>
        <v>9438.0617106060163</v>
      </c>
      <c r="H10" s="17">
        <f>UF_Calculations_1!B113</f>
        <v>9782.1964709051808</v>
      </c>
      <c r="I10" s="17">
        <f>UF_Calculations_1!B130</f>
        <v>9438.0617106060163</v>
      </c>
      <c r="J10" s="17">
        <f>UF_Calculations_1!B147</f>
        <v>9782.1964709051808</v>
      </c>
      <c r="K10" s="17">
        <f>UF_Calculations_1!B164</f>
        <v>9438.0617106060163</v>
      </c>
      <c r="L10" s="17">
        <f>UF_Calculations_1!B181</f>
        <v>9782.1964709051808</v>
      </c>
      <c r="M10" s="17">
        <f>UF_Calculations_1!B198</f>
        <v>9438.0617106060163</v>
      </c>
      <c r="N10" s="17">
        <f>UF_Calculations_1!B215</f>
        <v>9782.1964709051808</v>
      </c>
      <c r="O10" s="17">
        <f>UF_Calculations_1!B232</f>
        <v>9438.0617106060163</v>
      </c>
      <c r="P10" s="17">
        <f>UF_Calculations_1!B249</f>
        <v>9782.1964709051808</v>
      </c>
      <c r="Q10" s="17">
        <f>UF_Calculations_1!B266</f>
        <v>9438.0617106060163</v>
      </c>
    </row>
    <row r="11" spans="1:17">
      <c r="A11" t="s">
        <v>11</v>
      </c>
      <c r="B11" s="17">
        <f>UF_Calculations_1!B12</f>
        <v>6255.1260573301888</v>
      </c>
      <c r="C11" s="17">
        <f>UF_Calculations_1!B29</f>
        <v>6035.072584392613</v>
      </c>
      <c r="D11" s="17">
        <f>UF_Calculations_1!B46</f>
        <v>5891.3022225153381</v>
      </c>
      <c r="E11" s="17">
        <f>UF_Calculations_1!B63</f>
        <v>5684.0479637989774</v>
      </c>
      <c r="F11" s="17">
        <f>UF_Calculations_1!B80</f>
        <v>6255.1260573301888</v>
      </c>
      <c r="G11" s="17">
        <f>UF_Calculations_1!B97</f>
        <v>6035.072584392613</v>
      </c>
      <c r="H11" s="17">
        <f>UF_Calculations_1!B114</f>
        <v>6255.1260573301888</v>
      </c>
      <c r="I11" s="17">
        <f>UF_Calculations_1!B131</f>
        <v>6035.072584392613</v>
      </c>
      <c r="J11" s="17">
        <f>UF_Calculations_1!B148</f>
        <v>6255.1260573301888</v>
      </c>
      <c r="K11" s="17">
        <f>UF_Calculations_1!B165</f>
        <v>6035.072584392613</v>
      </c>
      <c r="L11" s="17">
        <f>UF_Calculations_1!B182</f>
        <v>5891.3022225153381</v>
      </c>
      <c r="M11" s="17">
        <f>UF_Calculations_1!B199</f>
        <v>5684.0479637989774</v>
      </c>
      <c r="N11" s="17">
        <f>UF_Calculations_1!B216</f>
        <v>5891.3022225153381</v>
      </c>
      <c r="O11" s="17">
        <f>UF_Calculations_1!B233</f>
        <v>5684.0479637989774</v>
      </c>
      <c r="P11" s="17">
        <f>UF_Calculations_1!B250</f>
        <v>5891.3022225153381</v>
      </c>
      <c r="Q11" s="17">
        <f>UF_Calculations_1!B267</f>
        <v>5684.0479637989774</v>
      </c>
    </row>
    <row r="12" spans="1:17">
      <c r="A12" t="s">
        <v>13</v>
      </c>
      <c r="B12" s="17">
        <f>UF_Calculations_1!B13</f>
        <v>13015.934321462773</v>
      </c>
      <c r="C12" s="17">
        <f>UF_Calculations_1!B30</f>
        <v>13015.934321462773</v>
      </c>
      <c r="D12" s="17">
        <f>UF_Calculations_1!B47</f>
        <v>13015.934321462773</v>
      </c>
      <c r="E12" s="17">
        <f>UF_Calculations_1!B64</f>
        <v>13015.934321462773</v>
      </c>
      <c r="F12" s="17">
        <f>UF_Calculations_1!B81</f>
        <v>13015.934321462773</v>
      </c>
      <c r="G12" s="17">
        <f>UF_Calculations_1!B98</f>
        <v>13015.934321462773</v>
      </c>
      <c r="H12" s="17">
        <f>UF_Calculations_1!B115</f>
        <v>13015.934321462773</v>
      </c>
      <c r="I12" s="17">
        <f>UF_Calculations_1!B132</f>
        <v>13015.934321462773</v>
      </c>
      <c r="J12" s="17">
        <f>UF_Calculations_1!B149</f>
        <v>13015.934321462773</v>
      </c>
      <c r="K12" s="17">
        <f>UF_Calculations_1!B166</f>
        <v>13015.934321462773</v>
      </c>
      <c r="L12" s="17">
        <f>UF_Calculations_1!B183</f>
        <v>13015.934321462773</v>
      </c>
      <c r="M12" s="17">
        <f>UF_Calculations_1!B200</f>
        <v>13015.934321462773</v>
      </c>
      <c r="N12" s="17">
        <f>UF_Calculations_1!B217</f>
        <v>13015.934321462773</v>
      </c>
      <c r="O12" s="17">
        <f>UF_Calculations_1!B234</f>
        <v>13015.934321462773</v>
      </c>
      <c r="P12" s="17">
        <f>UF_Calculations_1!B251</f>
        <v>13015.934321462773</v>
      </c>
      <c r="Q12" s="17">
        <f>UF_Calculations_1!B268</f>
        <v>13015.934321462773</v>
      </c>
    </row>
    <row r="13" spans="1:17">
      <c r="A13" t="s">
        <v>71</v>
      </c>
      <c r="B13" s="17">
        <f>UF_Calculations_1!B14</f>
        <v>28791.565066927964</v>
      </c>
      <c r="C13" s="17">
        <f>UF_Calculations_1!B31</f>
        <v>28791.565066927964</v>
      </c>
      <c r="D13" s="17">
        <f>UF_Calculations_1!B48</f>
        <v>28791.565066927964</v>
      </c>
      <c r="E13" s="17">
        <f>UF_Calculations_1!B65</f>
        <v>28791.565066927964</v>
      </c>
      <c r="F13" s="17">
        <f>UF_Calculations_1!B82</f>
        <v>28791.565066927964</v>
      </c>
      <c r="G13" s="17">
        <f>UF_Calculations_1!B99</f>
        <v>28791.565066927964</v>
      </c>
      <c r="H13" s="17">
        <f>UF_Calculations_1!B116</f>
        <v>28791.565066927964</v>
      </c>
      <c r="I13" s="17">
        <f>UF_Calculations_1!B133</f>
        <v>28791.565066927964</v>
      </c>
      <c r="J13" s="17">
        <f>UF_Calculations_1!B150</f>
        <v>28791.565066927964</v>
      </c>
      <c r="K13" s="17">
        <f>UF_Calculations_1!B167</f>
        <v>28791.565066927964</v>
      </c>
      <c r="L13" s="17">
        <f>UF_Calculations_1!B184</f>
        <v>28791.565066927964</v>
      </c>
      <c r="M13" s="17">
        <f>UF_Calculations_1!B201</f>
        <v>28791.565066927964</v>
      </c>
      <c r="N13" s="17">
        <f>UF_Calculations_1!B218</f>
        <v>28791.565066927964</v>
      </c>
      <c r="O13" s="17">
        <f>UF_Calculations_1!B235</f>
        <v>28791.565066927964</v>
      </c>
      <c r="P13" s="17">
        <f>UF_Calculations_1!B252</f>
        <v>28791.565066927964</v>
      </c>
      <c r="Q13" s="17">
        <f>UF_Calculations_1!B269</f>
        <v>28791.565066927964</v>
      </c>
    </row>
    <row r="14" spans="1:17">
      <c r="A14" s="6" t="s">
        <v>166</v>
      </c>
      <c r="B14" s="17">
        <f>UF_Calculations_1!B15</f>
        <v>13570.847209451998</v>
      </c>
      <c r="C14" s="17">
        <f>UF_Calculations_1!B32</f>
        <v>27512.315392460838</v>
      </c>
      <c r="D14" s="17">
        <f>UF_Calculations_1!B49</f>
        <v>13022.248813879105</v>
      </c>
      <c r="E14" s="17">
        <f>UF_Calculations_1!B66</f>
        <v>26409.041949636485</v>
      </c>
      <c r="F14" s="17">
        <f>UF_Calculations_1!B83</f>
        <v>13570.847209451998</v>
      </c>
      <c r="G14" s="17">
        <f>UF_Calculations_1!B100</f>
        <v>27512.315392460838</v>
      </c>
      <c r="H14" s="17">
        <f>UF_Calculations_1!B117</f>
        <v>14337.304477511076</v>
      </c>
      <c r="I14" s="17">
        <f>UF_Calculations_1!B134</f>
        <v>29128.244065989595</v>
      </c>
      <c r="J14" s="17">
        <f>UF_Calculations_1!B151</f>
        <v>14337.304477511076</v>
      </c>
      <c r="K14" s="17">
        <f>UF_Calculations_1!B168</f>
        <v>29128.244065989595</v>
      </c>
      <c r="L14" s="17">
        <f>UF_Calculations_1!B185</f>
        <v>13788.70608193818</v>
      </c>
      <c r="M14" s="17">
        <f>UF_Calculations_1!B202</f>
        <v>28024.970623165245</v>
      </c>
      <c r="N14" s="17">
        <f>UF_Calculations_1!B219</f>
        <v>13788.70608193818</v>
      </c>
      <c r="O14" s="17">
        <f>UF_Calculations_1!B236</f>
        <v>28024.970623165245</v>
      </c>
      <c r="P14" s="17">
        <f>UF_Calculations_1!B253</f>
        <v>13022.248813879105</v>
      </c>
      <c r="Q14" s="17">
        <f>UF_Calculations_1!B270</f>
        <v>26409.041949636485</v>
      </c>
    </row>
    <row r="15" spans="1:17">
      <c r="A15" s="212" t="s">
        <v>218</v>
      </c>
      <c r="B15" s="17">
        <f>UF_Calculations_1!B16</f>
        <v>2085.3611888863684</v>
      </c>
      <c r="C15" s="17">
        <f>UF_Calculations_1!B33</f>
        <v>1042.6805944431842</v>
      </c>
      <c r="D15" s="17">
        <f>UF_Calculations_1!B50</f>
        <v>2085.3611888863684</v>
      </c>
      <c r="E15" s="17">
        <f>UF_Calculations_1!B67</f>
        <v>1042.6805944431842</v>
      </c>
      <c r="F15" s="17">
        <f>UF_Calculations_1!B84</f>
        <v>2085.3611888863684</v>
      </c>
      <c r="G15" s="17">
        <f>UF_Calculations_1!B101</f>
        <v>1042.6805944431842</v>
      </c>
      <c r="H15" s="17">
        <f>UF_Calculations_1!B118</f>
        <v>2085.3611888863684</v>
      </c>
      <c r="I15" s="17">
        <f>UF_Calculations_1!B135</f>
        <v>1042.6805944431842</v>
      </c>
      <c r="J15" s="17">
        <f>UF_Calculations_1!B152</f>
        <v>2085.3611888863684</v>
      </c>
      <c r="K15" s="17">
        <f>UF_Calculations_1!B169</f>
        <v>1042.6805944431842</v>
      </c>
      <c r="L15" s="17">
        <f>UF_Calculations_1!B186</f>
        <v>2085.3611888863684</v>
      </c>
      <c r="M15" s="17">
        <f>UF_Calculations_1!B203</f>
        <v>1042.6805944431842</v>
      </c>
      <c r="N15" s="17">
        <f>UF_Calculations_1!B220</f>
        <v>2085.3611888863684</v>
      </c>
      <c r="O15" s="17">
        <f>UF_Calculations_1!B237</f>
        <v>1042.6805944431842</v>
      </c>
      <c r="P15" s="17">
        <f>UF_Calculations_1!B254</f>
        <v>2085.3611888863684</v>
      </c>
      <c r="Q15" s="17">
        <f>UF_Calculations_1!B271</f>
        <v>1042.6805944431842</v>
      </c>
    </row>
    <row r="16" spans="1:17">
      <c r="A16" s="211" t="s">
        <v>276</v>
      </c>
      <c r="B16" s="17">
        <f>UF_Calculations_1!B17</f>
        <v>4902.4848588157956</v>
      </c>
      <c r="C16" s="17">
        <f>UF_Calculations_1!B34</f>
        <v>3537.1633259899727</v>
      </c>
      <c r="D16" s="17">
        <f>UF_Calculations_1!B51</f>
        <v>4258.5816338963405</v>
      </c>
      <c r="E16" s="17">
        <f>UF_Calculations_1!B68</f>
        <v>3130.1365523053978</v>
      </c>
      <c r="F16" s="17">
        <f>UF_Calculations_1!B85</f>
        <v>4902.4848588157956</v>
      </c>
      <c r="G16" s="17">
        <f>UF_Calculations_1!B102</f>
        <v>3537.1633259899727</v>
      </c>
      <c r="H16" s="17">
        <f>UF_Calculations_1!B119</f>
        <v>5330.1132770442609</v>
      </c>
      <c r="I16" s="17">
        <f>UF_Calculations_1!B136</f>
        <v>3935.0659708904977</v>
      </c>
      <c r="J16" s="17">
        <f>UF_Calculations_1!B153</f>
        <v>5330.1132770442609</v>
      </c>
      <c r="K16" s="17">
        <f>UF_Calculations_1!B170</f>
        <v>3935.0659708904977</v>
      </c>
      <c r="L16" s="17">
        <f>UF_Calculations_1!B187</f>
        <v>4670.5768069649057</v>
      </c>
      <c r="M16" s="17">
        <f>UF_Calculations_1!B204</f>
        <v>3527.1936126520741</v>
      </c>
      <c r="N16" s="17">
        <f>UF_Calculations_1!B221</f>
        <v>4670.5768069649057</v>
      </c>
      <c r="O16" s="17">
        <f>UF_Calculations_1!B238</f>
        <v>3527.1936126520741</v>
      </c>
      <c r="P16" s="17">
        <f>UF_Calculations_1!B255</f>
        <v>4258.5816338963405</v>
      </c>
      <c r="Q16" s="17">
        <f>UF_Calculations_1!B272</f>
        <v>3130.1365523053978</v>
      </c>
    </row>
    <row r="17" spans="1:17">
      <c r="A17" s="8" t="s">
        <v>14</v>
      </c>
      <c r="B17" s="17">
        <f>UF_Calculations_1!B18</f>
        <v>501156.9190844929</v>
      </c>
      <c r="C17" s="17">
        <f>UF_Calculations_1!B35</f>
        <v>504925.9331831712</v>
      </c>
      <c r="D17" s="17">
        <f>UF_Calculations_1!B52</f>
        <v>482226.40267381025</v>
      </c>
      <c r="E17" s="17">
        <f>UF_Calculations_1!B69</f>
        <v>486131.01569574745</v>
      </c>
      <c r="F17" s="17">
        <f>UF_Calculations_1!B86</f>
        <v>501156.9190844929</v>
      </c>
      <c r="G17" s="17">
        <f>UF_Calculations_1!B103</f>
        <v>504925.9331831712</v>
      </c>
      <c r="H17" s="17">
        <f>UF_Calculations_1!B120</f>
        <v>527133.12310469057</v>
      </c>
      <c r="I17" s="17">
        <f>UF_Calculations_1!B137</f>
        <v>532255.98038688442</v>
      </c>
      <c r="J17" s="17">
        <f>UF_Calculations_1!B154</f>
        <v>527133.12310469057</v>
      </c>
      <c r="K17" s="17">
        <f>UF_Calculations_1!B171</f>
        <v>532255.98038688442</v>
      </c>
      <c r="L17" s="17">
        <f>UF_Calculations_1!B188</f>
        <v>508186.973448848</v>
      </c>
      <c r="M17" s="17">
        <f>UF_Calculations_1!B205</f>
        <v>513460.21731490677</v>
      </c>
      <c r="N17" s="17">
        <f>UF_Calculations_1!B222</f>
        <v>508186.973448848</v>
      </c>
      <c r="O17" s="17">
        <f>UF_Calculations_1!B239</f>
        <v>513460.21731490677</v>
      </c>
      <c r="P17" s="17">
        <f>UF_Calculations_1!B256</f>
        <v>482226.40267381025</v>
      </c>
      <c r="Q17" s="17">
        <f>UF_Calculations_1!B273</f>
        <v>486131.01569574745</v>
      </c>
    </row>
    <row r="18" spans="1:17">
      <c r="B18" s="408"/>
      <c r="C18" s="408"/>
      <c r="D18" s="408"/>
      <c r="E18" s="408"/>
      <c r="F18" s="408"/>
      <c r="G18" s="408"/>
      <c r="H18" s="408"/>
      <c r="I18" s="408"/>
      <c r="J18" s="408"/>
      <c r="K18" s="408"/>
      <c r="L18" s="409"/>
      <c r="M18" s="408"/>
      <c r="N18" s="409"/>
      <c r="O18" s="408"/>
      <c r="P18" s="409"/>
      <c r="Q18" s="408"/>
    </row>
    <row r="19" spans="1:17">
      <c r="A19">
        <v>2031</v>
      </c>
      <c r="B19" s="6" t="s">
        <v>300</v>
      </c>
      <c r="C19" s="6" t="s">
        <v>302</v>
      </c>
      <c r="D19" s="6" t="s">
        <v>301</v>
      </c>
      <c r="E19" s="6" t="s">
        <v>304</v>
      </c>
      <c r="F19" s="6" t="s">
        <v>303</v>
      </c>
      <c r="G19" s="6" t="s">
        <v>305</v>
      </c>
      <c r="H19" s="6" t="s">
        <v>306</v>
      </c>
      <c r="I19" s="6" t="s">
        <v>307</v>
      </c>
      <c r="J19" s="6" t="s">
        <v>308</v>
      </c>
      <c r="K19" s="6" t="s">
        <v>309</v>
      </c>
      <c r="L19" t="s">
        <v>364</v>
      </c>
      <c r="M19" t="s">
        <v>365</v>
      </c>
      <c r="N19" t="s">
        <v>554</v>
      </c>
      <c r="O19" t="s">
        <v>549</v>
      </c>
      <c r="P19" t="s">
        <v>555</v>
      </c>
      <c r="Q19" t="s">
        <v>551</v>
      </c>
    </row>
    <row r="20" spans="1:17">
      <c r="A20" t="s">
        <v>4</v>
      </c>
      <c r="B20" s="17">
        <f>UF_Calculations_1!K3</f>
        <v>264794.85588153428</v>
      </c>
      <c r="C20" s="17">
        <f>UF_Calculations_1!K20</f>
        <v>262776.02819345088</v>
      </c>
      <c r="D20" s="17">
        <f>UF_Calculations_1!K37</f>
        <v>256805.35591959135</v>
      </c>
      <c r="E20" s="17">
        <f>UF_Calculations_1!K54</f>
        <v>254847.44113588991</v>
      </c>
      <c r="F20" s="17">
        <f>UF_Calculations_1!K71</f>
        <v>242577.81860192152</v>
      </c>
      <c r="G20" s="17">
        <f>UF_Calculations_1!K88</f>
        <v>240728.37626635164</v>
      </c>
      <c r="H20" s="17">
        <f>UF_Calculations_1!K105</f>
        <v>264794.85588153428</v>
      </c>
      <c r="I20" s="17">
        <f>UF_Calculations_1!K122</f>
        <v>262776.02819345088</v>
      </c>
      <c r="J20" s="17">
        <f>UF_Calculations_1!K139</f>
        <v>242577.81860192152</v>
      </c>
      <c r="K20" s="17">
        <f>UF_Calculations_1!K156</f>
        <v>240728.37626635164</v>
      </c>
      <c r="L20" s="17">
        <f>UF_Calculations_1!K173</f>
        <v>235258.66028203588</v>
      </c>
      <c r="M20" s="17">
        <f>UF_Calculations_1!K190</f>
        <v>233465.0200859014</v>
      </c>
      <c r="N20" s="17">
        <f>UF_Calculations_1!K207</f>
        <v>256805.35591959135</v>
      </c>
      <c r="O20" s="17">
        <f>UF_Calculations_1!K224</f>
        <v>254847.44113588991</v>
      </c>
      <c r="P20" s="17">
        <f>UF_Calculations_1!K241</f>
        <v>235258.66028203588</v>
      </c>
      <c r="Q20" s="17">
        <f>UF_Calculations_1!K258</f>
        <v>233465.0200859014</v>
      </c>
    </row>
    <row r="21" spans="1:17">
      <c r="A21" t="s">
        <v>5</v>
      </c>
      <c r="B21" s="17">
        <f>UF_Calculations_1!K4</f>
        <v>192096.37300657912</v>
      </c>
      <c r="C21" s="17">
        <f>UF_Calculations_1!K21</f>
        <v>186998.55555193149</v>
      </c>
      <c r="D21" s="17">
        <f>UF_Calculations_1!K38</f>
        <v>180923.25859757749</v>
      </c>
      <c r="E21" s="17">
        <f>UF_Calculations_1!K55</f>
        <v>176121.95115384524</v>
      </c>
      <c r="F21" s="17">
        <f>UF_Calculations_1!K72</f>
        <v>182272.62294280939</v>
      </c>
      <c r="G21" s="17">
        <f>UF_Calculations_1!K89</f>
        <v>177435.50632160992</v>
      </c>
      <c r="H21" s="17">
        <f>UF_Calculations_1!K106</f>
        <v>192096.37300657912</v>
      </c>
      <c r="I21" s="17">
        <f>UF_Calculations_1!K123</f>
        <v>186998.55555193149</v>
      </c>
      <c r="J21" s="17">
        <f>UF_Calculations_1!K140</f>
        <v>182272.62294280939</v>
      </c>
      <c r="K21" s="17">
        <f>UF_Calculations_1!K157</f>
        <v>177435.50632160992</v>
      </c>
      <c r="L21" s="17">
        <f>UF_Calculations_1!K174</f>
        <v>171670.89820488801</v>
      </c>
      <c r="M21" s="17">
        <f>UF_Calculations_1!K191</f>
        <v>167115.12816286879</v>
      </c>
      <c r="N21" s="17">
        <f>UF_Calculations_1!K208</f>
        <v>180923.25859757749</v>
      </c>
      <c r="O21" s="17">
        <f>UF_Calculations_1!K225</f>
        <v>176121.95115384524</v>
      </c>
      <c r="P21" s="17">
        <f>UF_Calculations_1!K242</f>
        <v>171670.89820488801</v>
      </c>
      <c r="Q21" s="17">
        <f>UF_Calculations_1!K259</f>
        <v>167115.12816286879</v>
      </c>
    </row>
    <row r="22" spans="1:17">
      <c r="A22" t="s">
        <v>6</v>
      </c>
      <c r="B22" s="17">
        <f>UF_Calculations_1!K5</f>
        <v>22922.128002495228</v>
      </c>
      <c r="C22" s="17">
        <f>UF_Calculations_1!K22</f>
        <v>22115.734361849452</v>
      </c>
      <c r="D22" s="17">
        <f>UF_Calculations_1!K39</f>
        <v>21588.88284715392</v>
      </c>
      <c r="E22" s="17">
        <f>UF_Calculations_1!K56</f>
        <v>20829.392374249459</v>
      </c>
      <c r="F22" s="17">
        <f>UF_Calculations_1!K73</f>
        <v>21999.813830278268</v>
      </c>
      <c r="G22" s="17">
        <f>UF_Calculations_1!K90</f>
        <v>21225.866927695923</v>
      </c>
      <c r="H22" s="17">
        <f>UF_Calculations_1!K107</f>
        <v>22922.128002495228</v>
      </c>
      <c r="I22" s="17">
        <f>UF_Calculations_1!K124</f>
        <v>22115.734361849452</v>
      </c>
      <c r="J22" s="17">
        <f>UF_Calculations_1!K141</f>
        <v>21999.813830278268</v>
      </c>
      <c r="K22" s="17">
        <f>UF_Calculations_1!K158</f>
        <v>21225.866927695923</v>
      </c>
      <c r="L22" s="17">
        <f>UF_Calculations_1!K175</f>
        <v>20720.214257130599</v>
      </c>
      <c r="M22" s="17">
        <f>UF_Calculations_1!K192</f>
        <v>19991.28328667492</v>
      </c>
      <c r="N22" s="17">
        <f>UF_Calculations_1!K209</f>
        <v>21588.88284715392</v>
      </c>
      <c r="O22" s="17">
        <f>UF_Calculations_1!K226</f>
        <v>20829.392374249459</v>
      </c>
      <c r="P22" s="17">
        <f>UF_Calculations_1!K243</f>
        <v>20720.214257130599</v>
      </c>
      <c r="Q22" s="17">
        <f>UF_Calculations_1!K260</f>
        <v>19991.28328667492</v>
      </c>
    </row>
    <row r="23" spans="1:17">
      <c r="A23" t="s">
        <v>7</v>
      </c>
      <c r="B23" s="17">
        <f>UF_Calculations_1!K6</f>
        <v>35058.110995806368</v>
      </c>
      <c r="C23" s="17">
        <f>UF_Calculations_1!K23</f>
        <v>33824.777085578033</v>
      </c>
      <c r="D23" s="17">
        <f>UF_Calculations_1!K40</f>
        <v>33018.987200865136</v>
      </c>
      <c r="E23" s="17">
        <f>UF_Calculations_1!K57</f>
        <v>31857.389058823366</v>
      </c>
      <c r="F23" s="17">
        <f>UF_Calculations_1!K74</f>
        <v>36958.98762646228</v>
      </c>
      <c r="G23" s="17">
        <f>UF_Calculations_1!K91</f>
        <v>35658.781442139392</v>
      </c>
      <c r="H23" s="17">
        <f>UF_Calculations_1!K108</f>
        <v>35058.110995806368</v>
      </c>
      <c r="I23" s="17">
        <f>UF_Calculations_1!K125</f>
        <v>33824.777085578033</v>
      </c>
      <c r="J23" s="17">
        <f>UF_Calculations_1!K142</f>
        <v>36958.98762646228</v>
      </c>
      <c r="K23" s="17">
        <f>UF_Calculations_1!K159</f>
        <v>35658.781442139392</v>
      </c>
      <c r="L23" s="17">
        <f>UF_Calculations_1!K176</f>
        <v>34809.30103567383</v>
      </c>
      <c r="M23" s="17">
        <f>UF_Calculations_1!K193</f>
        <v>33584.720185787803</v>
      </c>
      <c r="N23" s="17">
        <f>UF_Calculations_1!K210</f>
        <v>33018.987200865136</v>
      </c>
      <c r="O23" s="17">
        <f>UF_Calculations_1!K227</f>
        <v>31857.389058823366</v>
      </c>
      <c r="P23" s="17">
        <f>UF_Calculations_1!K244</f>
        <v>34809.30103567383</v>
      </c>
      <c r="Q23" s="17">
        <f>UF_Calculations_1!K261</f>
        <v>33584.720185787803</v>
      </c>
    </row>
    <row r="24" spans="1:17">
      <c r="A24" t="s">
        <v>8</v>
      </c>
      <c r="B24" s="17">
        <f>UF_Calculations_1!K7</f>
        <v>43157.763925581807</v>
      </c>
      <c r="C24" s="17">
        <f>UF_Calculations_1!K24</f>
        <v>44087.888450242746</v>
      </c>
      <c r="D24" s="17">
        <f>UF_Calculations_1!K41</f>
        <v>43157.763925581807</v>
      </c>
      <c r="E24" s="17">
        <f>UF_Calculations_1!K58</f>
        <v>44087.888450242746</v>
      </c>
      <c r="F24" s="17">
        <f>UF_Calculations_1!K75</f>
        <v>40756.463402564055</v>
      </c>
      <c r="G24" s="17">
        <f>UF_Calculations_1!K92</f>
        <v>41634.835743970303</v>
      </c>
      <c r="H24" s="17">
        <f>UF_Calculations_1!K109</f>
        <v>82044.340474478871</v>
      </c>
      <c r="I24" s="17">
        <f>UF_Calculations_1!K126</f>
        <v>83812.53804181653</v>
      </c>
      <c r="J24" s="17">
        <f>UF_Calculations_1!K143</f>
        <v>77479.388545279595</v>
      </c>
      <c r="K24" s="17">
        <f>UF_Calculations_1!K160</f>
        <v>79149.203495979164</v>
      </c>
      <c r="L24" s="17">
        <f>UF_Calculations_1!K177</f>
        <v>77479.388545279595</v>
      </c>
      <c r="M24" s="17">
        <f>UF_Calculations_1!K194</f>
        <v>79149.203495979164</v>
      </c>
      <c r="N24" s="17">
        <f>UF_Calculations_1!K211</f>
        <v>82044.340474478871</v>
      </c>
      <c r="O24" s="17">
        <f>UF_Calculations_1!K228</f>
        <v>83812.53804181653</v>
      </c>
      <c r="P24" s="17">
        <f>UF_Calculations_1!K245</f>
        <v>40756.463402564055</v>
      </c>
      <c r="Q24" s="17">
        <f>UF_Calculations_1!K262</f>
        <v>41634.835743970303</v>
      </c>
    </row>
    <row r="25" spans="1:17">
      <c r="A25" t="s">
        <v>9</v>
      </c>
      <c r="B25" s="17">
        <f>UF_Calculations_1!K8</f>
        <v>37162.726816516049</v>
      </c>
      <c r="C25" s="17">
        <f>UF_Calculations_1!K25</f>
        <v>35855.353148127469</v>
      </c>
      <c r="D25" s="17">
        <f>UF_Calculations_1!K42</f>
        <v>35001.18991723693</v>
      </c>
      <c r="E25" s="17">
        <f>UF_Calculations_1!K59</f>
        <v>33769.858473610824</v>
      </c>
      <c r="F25" s="17">
        <f>UF_Calculations_1!K76</f>
        <v>30922.72649694348</v>
      </c>
      <c r="G25" s="17">
        <f>UF_Calculations_1!K93</f>
        <v>29834.874182540145</v>
      </c>
      <c r="H25" s="17">
        <f>UF_Calculations_1!K110</f>
        <v>37162.726816516049</v>
      </c>
      <c r="I25" s="17">
        <f>UF_Calculations_1!K127</f>
        <v>35855.353148127469</v>
      </c>
      <c r="J25" s="17">
        <f>UF_Calculations_1!K144</f>
        <v>30922.72649694348</v>
      </c>
      <c r="K25" s="17">
        <f>UF_Calculations_1!K161</f>
        <v>29834.874182540145</v>
      </c>
      <c r="L25" s="17">
        <f>UF_Calculations_1!K178</f>
        <v>29124.133657417133</v>
      </c>
      <c r="M25" s="17">
        <f>UF_Calculations_1!K195</f>
        <v>28099.555303779893</v>
      </c>
      <c r="N25" s="17">
        <f>UF_Calculations_1!K212</f>
        <v>35001.18991723693</v>
      </c>
      <c r="O25" s="17">
        <f>UF_Calculations_1!K229</f>
        <v>33769.858473610824</v>
      </c>
      <c r="P25" s="17">
        <f>UF_Calculations_1!K246</f>
        <v>29124.133657417133</v>
      </c>
      <c r="Q25" s="17">
        <f>UF_Calculations_1!K263</f>
        <v>28099.555303779893</v>
      </c>
    </row>
    <row r="26" spans="1:17">
      <c r="A26" t="s">
        <v>10</v>
      </c>
      <c r="B26" s="17">
        <f>UF_Calculations_1!K9</f>
        <v>25987.653238588413</v>
      </c>
      <c r="C26" s="17">
        <f>UF_Calculations_1!K26</f>
        <v>26547.732154105805</v>
      </c>
      <c r="D26" s="17">
        <f>UF_Calculations_1!K43</f>
        <v>25987.653238588413</v>
      </c>
      <c r="E26" s="17">
        <f>UF_Calculations_1!K60</f>
        <v>26547.732154105805</v>
      </c>
      <c r="F26" s="17">
        <f>UF_Calculations_1!K77</f>
        <v>26313.74110020748</v>
      </c>
      <c r="G26" s="17">
        <f>UF_Calculations_1!K94</f>
        <v>26880.847773646004</v>
      </c>
      <c r="H26" s="17">
        <f>UF_Calculations_1!K111</f>
        <v>25987.653238588413</v>
      </c>
      <c r="I26" s="17">
        <f>UF_Calculations_1!K128</f>
        <v>26547.732154105805</v>
      </c>
      <c r="J26" s="17">
        <f>UF_Calculations_1!K145</f>
        <v>26313.74110020748</v>
      </c>
      <c r="K26" s="17">
        <f>UF_Calculations_1!K162</f>
        <v>26880.847773646004</v>
      </c>
      <c r="L26" s="17">
        <f>UF_Calculations_1!K179</f>
        <v>26313.74110020748</v>
      </c>
      <c r="M26" s="17">
        <f>UF_Calculations_1!K196</f>
        <v>26880.847773646004</v>
      </c>
      <c r="N26" s="17">
        <f>UF_Calculations_1!K213</f>
        <v>25987.653238588413</v>
      </c>
      <c r="O26" s="17">
        <f>UF_Calculations_1!K230</f>
        <v>26547.732154105805</v>
      </c>
      <c r="P26" s="17">
        <f>UF_Calculations_1!K247</f>
        <v>26313.74110020748</v>
      </c>
      <c r="Q26" s="17">
        <f>UF_Calculations_1!K264</f>
        <v>26880.847773646004</v>
      </c>
    </row>
    <row r="27" spans="1:17">
      <c r="A27" t="s">
        <v>18</v>
      </c>
      <c r="B27" s="17">
        <f>UF_Calculations_1!K10</f>
        <v>48460.018199290491</v>
      </c>
      <c r="C27" s="17">
        <f>UF_Calculations_1!K27</f>
        <v>45999.967667126541</v>
      </c>
      <c r="D27" s="17">
        <f>UF_Calculations_1!K44</f>
        <v>45641.384410799183</v>
      </c>
      <c r="E27" s="17">
        <f>UF_Calculations_1!K61</f>
        <v>43324.420526329784</v>
      </c>
      <c r="F27" s="17">
        <f>UF_Calculations_1!K78</f>
        <v>44647.16323719998</v>
      </c>
      <c r="G27" s="17">
        <f>UF_Calculations_1!K95</f>
        <v>42380.670533264245</v>
      </c>
      <c r="H27" s="17">
        <f>UF_Calculations_1!K112</f>
        <v>48460.018199290491</v>
      </c>
      <c r="I27" s="17">
        <f>UF_Calculations_1!K129</f>
        <v>45999.967667126541</v>
      </c>
      <c r="J27" s="17">
        <f>UF_Calculations_1!K146</f>
        <v>44647.16323719998</v>
      </c>
      <c r="K27" s="17">
        <f>UF_Calculations_1!K163</f>
        <v>42380.670533264245</v>
      </c>
      <c r="L27" s="17">
        <f>UF_Calculations_1!K180</f>
        <v>42050.300760939055</v>
      </c>
      <c r="M27" s="17">
        <f>UF_Calculations_1!K197</f>
        <v>39915.636586047811</v>
      </c>
      <c r="N27" s="17">
        <f>UF_Calculations_1!K214</f>
        <v>45641.384410799183</v>
      </c>
      <c r="O27" s="17">
        <f>UF_Calculations_1!K231</f>
        <v>43324.420526329784</v>
      </c>
      <c r="P27" s="17">
        <f>UF_Calculations_1!K248</f>
        <v>42050.300760939055</v>
      </c>
      <c r="Q27" s="17">
        <f>UF_Calculations_1!K265</f>
        <v>39915.636586047811</v>
      </c>
    </row>
    <row r="28" spans="1:17">
      <c r="A28" t="s">
        <v>16</v>
      </c>
      <c r="B28" s="17">
        <f>UF_Calculations_1!K11</f>
        <v>14206.770128000584</v>
      </c>
      <c r="C28" s="17">
        <f>UF_Calculations_1!K28</f>
        <v>13706.980183363292</v>
      </c>
      <c r="D28" s="17">
        <f>UF_Calculations_1!K45</f>
        <v>14206.770128000584</v>
      </c>
      <c r="E28" s="17">
        <f>UF_Calculations_1!K62</f>
        <v>13706.980183363292</v>
      </c>
      <c r="F28" s="17">
        <f>UF_Calculations_1!K79</f>
        <v>14495.56748507814</v>
      </c>
      <c r="G28" s="17">
        <f>UF_Calculations_1!K96</f>
        <v>13985.617735375748</v>
      </c>
      <c r="H28" s="17">
        <f>UF_Calculations_1!K113</f>
        <v>14206.770128000584</v>
      </c>
      <c r="I28" s="17">
        <f>UF_Calculations_1!K130</f>
        <v>13706.980183363292</v>
      </c>
      <c r="J28" s="17">
        <f>UF_Calculations_1!K147</f>
        <v>14495.56748507814</v>
      </c>
      <c r="K28" s="17">
        <f>UF_Calculations_1!K164</f>
        <v>13985.617735375748</v>
      </c>
      <c r="L28" s="17">
        <f>UF_Calculations_1!K181</f>
        <v>14495.56748507814</v>
      </c>
      <c r="M28" s="17">
        <f>UF_Calculations_1!K198</f>
        <v>13985.617735375748</v>
      </c>
      <c r="N28" s="17">
        <f>UF_Calculations_1!K215</f>
        <v>14206.770128000584</v>
      </c>
      <c r="O28" s="17">
        <f>UF_Calculations_1!K232</f>
        <v>13706.980183363292</v>
      </c>
      <c r="P28" s="17">
        <f>UF_Calculations_1!K249</f>
        <v>14495.56748507814</v>
      </c>
      <c r="Q28" s="17">
        <f>UF_Calculations_1!K266</f>
        <v>13985.617735375748</v>
      </c>
    </row>
    <row r="29" spans="1:17">
      <c r="A29" t="s">
        <v>11</v>
      </c>
      <c r="B29" s="17">
        <f>UF_Calculations_1!K12</f>
        <v>10022.472363829718</v>
      </c>
      <c r="C29" s="17">
        <f>UF_Calculations_1!K29</f>
        <v>9669.8847691325518</v>
      </c>
      <c r="D29" s="17">
        <f>UF_Calculations_1!K46</f>
        <v>9439.5241871960498</v>
      </c>
      <c r="E29" s="17">
        <f>UF_Calculations_1!K63</f>
        <v>9107.4445358456924</v>
      </c>
      <c r="F29" s="17">
        <f>UF_Calculations_1!K80</f>
        <v>9269.0432216712943</v>
      </c>
      <c r="G29" s="17">
        <f>UF_Calculations_1!K97</f>
        <v>8942.9610399465928</v>
      </c>
      <c r="H29" s="17">
        <f>UF_Calculations_1!K114</f>
        <v>10022.472363829718</v>
      </c>
      <c r="I29" s="17">
        <f>UF_Calculations_1!K131</f>
        <v>9669.8847691325518</v>
      </c>
      <c r="J29" s="17">
        <f>UF_Calculations_1!K148</f>
        <v>9269.0432216712943</v>
      </c>
      <c r="K29" s="17">
        <f>UF_Calculations_1!K165</f>
        <v>8942.9610399465928</v>
      </c>
      <c r="L29" s="17">
        <f>UF_Calculations_1!K182</f>
        <v>8729.9175799072618</v>
      </c>
      <c r="M29" s="17">
        <f>UF_Calculations_1!K199</f>
        <v>8422.8016777958783</v>
      </c>
      <c r="N29" s="17">
        <f>UF_Calculations_1!K216</f>
        <v>9439.5241871960498</v>
      </c>
      <c r="O29" s="17">
        <f>UF_Calculations_1!K233</f>
        <v>9107.4445358456924</v>
      </c>
      <c r="P29" s="17">
        <f>UF_Calculations_1!K250</f>
        <v>8729.9175799072618</v>
      </c>
      <c r="Q29" s="17">
        <f>UF_Calculations_1!K267</f>
        <v>8422.8016777958783</v>
      </c>
    </row>
    <row r="30" spans="1:17">
      <c r="A30" t="s">
        <v>13</v>
      </c>
      <c r="B30" s="17">
        <f>UF_Calculations_1!K13</f>
        <v>18049.393987394586</v>
      </c>
      <c r="C30" s="17">
        <f>UF_Calculations_1!K30</f>
        <v>18049.393987394586</v>
      </c>
      <c r="D30" s="17">
        <f>UF_Calculations_1!K47</f>
        <v>18049.393987394586</v>
      </c>
      <c r="E30" s="17">
        <f>UF_Calculations_1!K64</f>
        <v>18049.393987394586</v>
      </c>
      <c r="F30" s="17">
        <f>UF_Calculations_1!K81</f>
        <v>18049.393987394586</v>
      </c>
      <c r="G30" s="17">
        <f>UF_Calculations_1!K98</f>
        <v>18049.393987394586</v>
      </c>
      <c r="H30" s="17">
        <f>UF_Calculations_1!K115</f>
        <v>18049.393987394586</v>
      </c>
      <c r="I30" s="17">
        <f>UF_Calculations_1!K132</f>
        <v>18049.393987394586</v>
      </c>
      <c r="J30" s="17">
        <f>UF_Calculations_1!K149</f>
        <v>18049.393987394586</v>
      </c>
      <c r="K30" s="17">
        <f>UF_Calculations_1!K166</f>
        <v>18049.393987394586</v>
      </c>
      <c r="L30" s="17">
        <f>UF_Calculations_1!K183</f>
        <v>18049.393987394586</v>
      </c>
      <c r="M30" s="17">
        <f>UF_Calculations_1!K200</f>
        <v>18049.393987394586</v>
      </c>
      <c r="N30" s="17">
        <f>UF_Calculations_1!K217</f>
        <v>18049.393987394586</v>
      </c>
      <c r="O30" s="17">
        <f>UF_Calculations_1!K234</f>
        <v>18049.393987394586</v>
      </c>
      <c r="P30" s="17">
        <f>UF_Calculations_1!K251</f>
        <v>18049.393987394586</v>
      </c>
      <c r="Q30" s="17">
        <f>UF_Calculations_1!K268</f>
        <v>18049.393987394586</v>
      </c>
    </row>
    <row r="31" spans="1:17">
      <c r="A31" t="s">
        <v>71</v>
      </c>
      <c r="B31" s="17">
        <f>UF_Calculations_1!K14</f>
        <v>43737.962208692254</v>
      </c>
      <c r="C31" s="17">
        <f>UF_Calculations_1!K31</f>
        <v>43737.962208692254</v>
      </c>
      <c r="D31" s="17">
        <f>UF_Calculations_1!K48</f>
        <v>43737.962208692254</v>
      </c>
      <c r="E31" s="17">
        <f>UF_Calculations_1!K65</f>
        <v>43737.962208692254</v>
      </c>
      <c r="F31" s="17">
        <f>UF_Calculations_1!K82</f>
        <v>42664.249861468357</v>
      </c>
      <c r="G31" s="17">
        <f>UF_Calculations_1!K99</f>
        <v>42664.249861468357</v>
      </c>
      <c r="H31" s="17">
        <f>UF_Calculations_1!K116</f>
        <v>43737.962208692254</v>
      </c>
      <c r="I31" s="17">
        <f>UF_Calculations_1!K133</f>
        <v>43737.962208692254</v>
      </c>
      <c r="J31" s="17">
        <f>UF_Calculations_1!K150</f>
        <v>42664.249861468357</v>
      </c>
      <c r="K31" s="17">
        <f>UF_Calculations_1!K167</f>
        <v>42664.249861468357</v>
      </c>
      <c r="L31" s="17">
        <f>UF_Calculations_1!K184</f>
        <v>43626.634274339864</v>
      </c>
      <c r="M31" s="17">
        <f>UF_Calculations_1!K201</f>
        <v>42664.249861468357</v>
      </c>
      <c r="N31" s="17">
        <f>UF_Calculations_1!K218</f>
        <v>43737.962208692254</v>
      </c>
      <c r="O31" s="17">
        <f>UF_Calculations_1!K235</f>
        <v>43737.962208692254</v>
      </c>
      <c r="P31" s="17">
        <f>UF_Calculations_1!K252</f>
        <v>43626.634274339864</v>
      </c>
      <c r="Q31" s="17">
        <f>UF_Calculations_1!K269</f>
        <v>42664.249861468357</v>
      </c>
    </row>
    <row r="32" spans="1:17">
      <c r="A32" s="6" t="s">
        <v>166</v>
      </c>
      <c r="B32" s="17">
        <f>UF_Calculations_1!K15</f>
        <v>21459.862037883155</v>
      </c>
      <c r="C32" s="17">
        <f>UF_Calculations_1!K32</f>
        <v>43505.291589249457</v>
      </c>
      <c r="D32" s="17">
        <f>UF_Calculations_1!K49</f>
        <v>20590.848568224454</v>
      </c>
      <c r="E32" s="17">
        <f>UF_Calculations_1!K66</f>
        <v>41757.478598700385</v>
      </c>
      <c r="F32" s="17">
        <f>UF_Calculations_1!K83</f>
        <v>20109.709730261937</v>
      </c>
      <c r="G32" s="17">
        <f>UF_Calculations_1!K100</f>
        <v>40768.617317013188</v>
      </c>
      <c r="H32" s="17">
        <f>UF_Calculations_1!K117</f>
        <v>22662.539663106774</v>
      </c>
      <c r="I32" s="17">
        <f>UF_Calculations_1!K134</f>
        <v>46040.907520626512</v>
      </c>
      <c r="J32" s="17">
        <f>UF_Calculations_1!K151</f>
        <v>21245.470301686128</v>
      </c>
      <c r="K32" s="17">
        <f>UF_Calculations_1!K168</f>
        <v>43163.151428843543</v>
      </c>
      <c r="L32" s="17">
        <f>UF_Calculations_1!K185</f>
        <v>20432.539883769801</v>
      </c>
      <c r="M32" s="17">
        <f>UF_Calculations_1!K202</f>
        <v>41528.286018756851</v>
      </c>
      <c r="N32" s="17">
        <f>UF_Calculations_1!K219</f>
        <v>21793.526193448073</v>
      </c>
      <c r="O32" s="17">
        <f>UF_Calculations_1!K236</f>
        <v>44293.094530077433</v>
      </c>
      <c r="P32" s="17">
        <f>UF_Calculations_1!K253</f>
        <v>19296.779312345607</v>
      </c>
      <c r="Q32" s="17">
        <f>UF_Calculations_1!K270</f>
        <v>39133.751906926504</v>
      </c>
    </row>
    <row r="33" spans="1:17">
      <c r="A33" s="212" t="s">
        <v>218</v>
      </c>
      <c r="B33" s="17">
        <f>UF_Calculations_1!K16</f>
        <v>2085.3611888863684</v>
      </c>
      <c r="C33" s="17">
        <f>UF_Calculations_1!K33</f>
        <v>1042.6805944431842</v>
      </c>
      <c r="D33" s="17">
        <f>UF_Calculations_1!K50</f>
        <v>2085.3611888863684</v>
      </c>
      <c r="E33" s="17">
        <f>UF_Calculations_1!K67</f>
        <v>1042.6805944431842</v>
      </c>
      <c r="F33" s="17">
        <f>UF_Calculations_1!K84</f>
        <v>2085.3611888863684</v>
      </c>
      <c r="G33" s="17">
        <f>UF_Calculations_1!K101</f>
        <v>1042.6805944431842</v>
      </c>
      <c r="H33" s="17">
        <f>UF_Calculations_1!K118</f>
        <v>2085.3611888863684</v>
      </c>
      <c r="I33" s="17">
        <f>UF_Calculations_1!K135</f>
        <v>1042.6805944431842</v>
      </c>
      <c r="J33" s="17">
        <f>UF_Calculations_1!K152</f>
        <v>2085.3611888863684</v>
      </c>
      <c r="K33" s="17">
        <f>UF_Calculations_1!K169</f>
        <v>1042.6805944431842</v>
      </c>
      <c r="L33" s="17">
        <f>UF_Calculations_1!K186</f>
        <v>2085.3611888863684</v>
      </c>
      <c r="M33" s="17">
        <f>UF_Calculations_1!K203</f>
        <v>1042.6805944431842</v>
      </c>
      <c r="N33" s="17">
        <f>UF_Calculations_1!K220</f>
        <v>2085.3611888863684</v>
      </c>
      <c r="O33" s="17">
        <f>UF_Calculations_1!K237</f>
        <v>1042.6805944431842</v>
      </c>
      <c r="P33" s="17">
        <f>UF_Calculations_1!K254</f>
        <v>2085.3611888863684</v>
      </c>
      <c r="Q33" s="17">
        <f>UF_Calculations_1!K271</f>
        <v>1042.6805944431842</v>
      </c>
    </row>
    <row r="34" spans="1:17">
      <c r="A34" s="211" t="s">
        <v>276</v>
      </c>
      <c r="B34" s="17">
        <f>UF_Calculations_1!K17</f>
        <v>7250.3501871489816</v>
      </c>
      <c r="C34" s="17">
        <f>UF_Calculations_1!K34</f>
        <v>5319.6435224858287</v>
      </c>
      <c r="D34" s="17">
        <f>UF_Calculations_1!K51</f>
        <v>6280.7532639487399</v>
      </c>
      <c r="E34" s="17">
        <f>UF_Calculations_1!K68</f>
        <v>4699.5930427319099</v>
      </c>
      <c r="F34" s="17">
        <f>UF_Calculations_1!K85</f>
        <v>6351.7364828735981</v>
      </c>
      <c r="G34" s="17">
        <f>UF_Calculations_1!K102</f>
        <v>4649.924250309874</v>
      </c>
      <c r="H34" s="17">
        <f>UF_Calculations_1!K119</f>
        <v>7974.8433013006306</v>
      </c>
      <c r="I34" s="17">
        <f>UF_Calculations_1!K136</f>
        <v>5978.1418087803177</v>
      </c>
      <c r="J34" s="17">
        <f>UF_Calculations_1!K153</f>
        <v>7034.6234214260548</v>
      </c>
      <c r="K34" s="17">
        <f>UF_Calculations_1!K170</f>
        <v>5273.4545205192735</v>
      </c>
      <c r="L34" s="17">
        <f>UF_Calculations_1!K187</f>
        <v>6088.5147588991922</v>
      </c>
      <c r="M34" s="17">
        <f>UF_Calculations_1!K204</f>
        <v>4704.067737456101</v>
      </c>
      <c r="N34" s="17">
        <f>UF_Calculations_1!K221</f>
        <v>6920.9707498785965</v>
      </c>
      <c r="O34" s="17">
        <f>UF_Calculations_1!K238</f>
        <v>5356.6447847226409</v>
      </c>
      <c r="P34" s="17">
        <f>UF_Calculations_1!K255</f>
        <v>5477.7605263772875</v>
      </c>
      <c r="Q34" s="17">
        <f>UF_Calculations_1!K272</f>
        <v>4077.1592254460347</v>
      </c>
    </row>
    <row r="35" spans="1:17">
      <c r="A35" s="8" t="s">
        <v>14</v>
      </c>
      <c r="B35" s="17">
        <f>UF_Calculations_1!K18</f>
        <v>786451.80216822727</v>
      </c>
      <c r="C35" s="17">
        <f>UF_Calculations_1!K35</f>
        <v>793237.87346717366</v>
      </c>
      <c r="D35" s="17">
        <f>UF_Calculations_1!K52</f>
        <v>756515.08958973701</v>
      </c>
      <c r="E35" s="17">
        <f>UF_Calculations_1!K69</f>
        <v>763487.6064782684</v>
      </c>
      <c r="F35" s="17">
        <f>UF_Calculations_1!K86</f>
        <v>739474.39919602068</v>
      </c>
      <c r="G35" s="17">
        <f>UF_Calculations_1!K103</f>
        <v>745883.20397716924</v>
      </c>
      <c r="H35" s="17">
        <f>UF_Calculations_1!K120</f>
        <v>827265.54945649963</v>
      </c>
      <c r="I35" s="17">
        <f>UF_Calculations_1!K137</f>
        <v>836156.63727641897</v>
      </c>
      <c r="J35" s="17">
        <f>UF_Calculations_1!K154</f>
        <v>778015.97184871288</v>
      </c>
      <c r="K35" s="17">
        <f>UF_Calculations_1!K171</f>
        <v>786415.63611121778</v>
      </c>
      <c r="L35" s="17">
        <f>UF_Calculations_1!K188</f>
        <v>750934.56700184674</v>
      </c>
      <c r="M35" s="17">
        <f>UF_Calculations_1!K205</f>
        <v>758598.49249337649</v>
      </c>
      <c r="N35" s="17">
        <f>UF_Calculations_1!K222</f>
        <v>797244.56124978757</v>
      </c>
      <c r="O35" s="17">
        <f>UF_Calculations_1!K239</f>
        <v>806404.92374320992</v>
      </c>
      <c r="P35" s="17">
        <f>UF_Calculations_1!K256</f>
        <v>712465.12705518503</v>
      </c>
      <c r="Q35" s="17">
        <f>UF_Calculations_1!K273</f>
        <v>718062.68211752735</v>
      </c>
    </row>
    <row r="36" spans="1:17">
      <c r="B36" s="56"/>
      <c r="C36" s="56"/>
      <c r="D36" s="56"/>
      <c r="E36" s="56"/>
      <c r="F36" s="56"/>
      <c r="G36" s="56"/>
      <c r="H36" s="56"/>
      <c r="I36" s="56"/>
      <c r="J36" s="56"/>
      <c r="K36" s="56"/>
      <c r="L36" s="56"/>
      <c r="M36" s="56"/>
      <c r="N36" s="56"/>
      <c r="O36" s="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workbookViewId="0">
      <selection activeCell="A17" sqref="A17:C30"/>
    </sheetView>
  </sheetViews>
  <sheetFormatPr defaultColWidth="8.81640625" defaultRowHeight="14.5"/>
  <cols>
    <col min="1" max="1" width="50.1796875" style="222" bestFit="1" customWidth="1"/>
    <col min="2" max="2" width="9.81640625" style="219" bestFit="1" customWidth="1"/>
    <col min="3" max="3" width="9.7265625" bestFit="1" customWidth="1"/>
    <col min="4" max="5" width="9.81640625" bestFit="1" customWidth="1"/>
    <col min="6" max="6" width="22.453125" bestFit="1" customWidth="1"/>
    <col min="8" max="8" width="12.26953125" bestFit="1" customWidth="1"/>
  </cols>
  <sheetData>
    <row r="1" spans="1:8">
      <c r="A1" t="s">
        <v>350</v>
      </c>
      <c r="B1"/>
    </row>
    <row r="2" spans="1:8">
      <c r="A2" t="s">
        <v>341</v>
      </c>
      <c r="B2"/>
    </row>
    <row r="3" spans="1:8">
      <c r="A3"/>
      <c r="B3" t="s">
        <v>380</v>
      </c>
      <c r="C3" t="s">
        <v>348</v>
      </c>
      <c r="D3" s="6" t="s">
        <v>381</v>
      </c>
      <c r="E3" t="s">
        <v>382</v>
      </c>
      <c r="F3" t="s">
        <v>383</v>
      </c>
      <c r="H3" t="s">
        <v>380</v>
      </c>
    </row>
    <row r="4" spans="1:8">
      <c r="A4" t="s">
        <v>340</v>
      </c>
      <c r="B4" s="296">
        <f>UF_Calculations_3!L36</f>
        <v>1.0684583915500064E-2</v>
      </c>
      <c r="C4" s="297">
        <f>UF_Calculations_6!L36</f>
        <v>1.0684583915500064E-2</v>
      </c>
      <c r="F4" s="278">
        <f>-(B4-C4)</f>
        <v>0</v>
      </c>
      <c r="H4" s="13">
        <f>UF_Calculations_3!B36-UF_Calculations_3!B19</f>
        <v>5523.9968631189549</v>
      </c>
    </row>
    <row r="5" spans="1:8">
      <c r="A5" t="s">
        <v>339</v>
      </c>
      <c r="B5" s="296">
        <f>UF_Calculations_3!L53</f>
        <v>3.1230778913520192E-3</v>
      </c>
      <c r="C5" s="297">
        <f>UF_Calculations_6!L53</f>
        <v>3.1230778913520192E-3</v>
      </c>
      <c r="F5" s="278">
        <f t="shared" ref="F5:F13" si="0">-(B5-C5)</f>
        <v>0</v>
      </c>
      <c r="H5" s="13">
        <f>UF_Calculations_3!B53-UF_Calculations_3!B36</f>
        <v>1614.6508475709124</v>
      </c>
    </row>
    <row r="6" spans="1:8">
      <c r="A6" t="s">
        <v>314</v>
      </c>
      <c r="B6" s="297">
        <f>UF_Calculations_3!L70</f>
        <v>5.6538487425593392E-2</v>
      </c>
      <c r="C6" s="297">
        <f>UF_Calculations_6!L70</f>
        <v>5.6538487425593392E-2</v>
      </c>
      <c r="D6" s="269">
        <f>UF_Calculations_4!L70</f>
        <v>1.6021954696759589E-2</v>
      </c>
      <c r="F6" s="278">
        <f t="shared" si="0"/>
        <v>0</v>
      </c>
      <c r="H6" s="13">
        <f>UF_Calculations_3!B70-UF_Calculations_3!B53</f>
        <v>29230.752423722355</v>
      </c>
    </row>
    <row r="7" spans="1:8">
      <c r="A7" t="s">
        <v>338</v>
      </c>
      <c r="B7" s="296">
        <f>UF_Calculations_3!L87</f>
        <v>-5.7674251069842628E-2</v>
      </c>
      <c r="C7" s="297">
        <f>UF_Calculations_6!L87</f>
        <v>-5.7674251069842628E-2</v>
      </c>
      <c r="F7" s="278">
        <f t="shared" si="0"/>
        <v>0</v>
      </c>
      <c r="H7" s="13">
        <f>UF_Calculations_3!B87-UF_Calculations_3!B70</f>
        <v>-29817.94934759842</v>
      </c>
    </row>
    <row r="8" spans="1:8">
      <c r="A8" t="s">
        <v>275</v>
      </c>
      <c r="B8" s="296">
        <f>UF_Calculations_3!L104</f>
        <v>3.8608959351842942E-2</v>
      </c>
      <c r="C8" s="297">
        <f>UF_Calculations_6!L104</f>
        <v>0</v>
      </c>
      <c r="F8" s="278">
        <f t="shared" si="0"/>
        <v>-3.8608959351842942E-2</v>
      </c>
      <c r="H8" s="13">
        <f>UF_Calculations_3!B104-UF_Calculations_3!B87</f>
        <v>19961.074014166312</v>
      </c>
    </row>
    <row r="9" spans="1:8">
      <c r="A9" t="s">
        <v>351</v>
      </c>
      <c r="B9" s="296">
        <f>UF_Calculations_3!L121</f>
        <v>-4.2647084472694816E-2</v>
      </c>
      <c r="C9" s="297">
        <f>UF_Calculations_6!L121</f>
        <v>-2.0455106664294967E-2</v>
      </c>
      <c r="F9" s="278">
        <f t="shared" si="0"/>
        <v>2.2191977808399849E-2</v>
      </c>
      <c r="H9" s="13">
        <f>UF_Calculations_3!B121-UF_Calculations_3!B104</f>
        <v>-22048.810015575553</v>
      </c>
    </row>
    <row r="10" spans="1:8">
      <c r="A10" t="s">
        <v>337</v>
      </c>
      <c r="B10" s="296">
        <f>UF_Calculations_3!L138</f>
        <v>-5.2805762972012157E-2</v>
      </c>
      <c r="C10" s="297">
        <f>UF_Calculations_6!L138</f>
        <v>-2.4441119283034128E-2</v>
      </c>
      <c r="F10" s="278">
        <f t="shared" si="0"/>
        <v>2.8364643688978029E-2</v>
      </c>
      <c r="H10" s="13">
        <f>UF_Calculations_3!B138-UF_Calculations_3!B121</f>
        <v>-27300.910481767321</v>
      </c>
    </row>
    <row r="11" spans="1:8">
      <c r="A11" t="s">
        <v>336</v>
      </c>
      <c r="B11" s="296">
        <f>UF_Calculations_3!L155</f>
        <v>4.0335317287278965E-3</v>
      </c>
      <c r="C11" s="297">
        <f>UF_Calculations_6!L155</f>
        <v>2.0167658643638923E-3</v>
      </c>
      <c r="F11" s="278">
        <f t="shared" si="0"/>
        <v>-2.0167658643640042E-3</v>
      </c>
      <c r="H11" s="13">
        <f>UF_Calculations_3!B155-UF_Calculations_3!B138</f>
        <v>2085.3611888863961</v>
      </c>
    </row>
    <row r="12" spans="1:8">
      <c r="A12" t="s">
        <v>276</v>
      </c>
      <c r="B12" s="296">
        <f>UF_Calculations_3!L172</f>
        <v>9.4824476129246882E-3</v>
      </c>
      <c r="C12" s="297">
        <f>UF_Calculations_6!L172</f>
        <v>6.8416256047673426E-3</v>
      </c>
      <c r="F12" s="278">
        <f t="shared" si="0"/>
        <v>-2.6408220081573456E-3</v>
      </c>
      <c r="H12" s="13">
        <f>UF_Calculations_3!B172-UF_Calculations_3!B155</f>
        <v>4902.4848588157911</v>
      </c>
    </row>
    <row r="13" spans="1:8">
      <c r="A13" t="s">
        <v>335</v>
      </c>
      <c r="B13" s="269">
        <f>SUM(B4:B12)</f>
        <v>-3.0656010588608597E-2</v>
      </c>
      <c r="C13" s="261">
        <f>SUM(C4:C12)</f>
        <v>-2.3365936315595012E-2</v>
      </c>
      <c r="F13" s="278">
        <f t="shared" si="0"/>
        <v>7.2900742730135845E-3</v>
      </c>
      <c r="H13" s="13">
        <f>SUM(H4:H12)</f>
        <v>-15849.349648660573</v>
      </c>
    </row>
    <row r="14" spans="1:8">
      <c r="A14" t="s">
        <v>318</v>
      </c>
      <c r="B14" s="297">
        <f>UF_Calculations_3!L190</f>
        <v>5.0243499143344007E-2</v>
      </c>
      <c r="C14" s="297">
        <f>UF_Calculations_6!L190</f>
        <v>0</v>
      </c>
      <c r="F14" s="278"/>
      <c r="H14" s="13">
        <f>UF_Calculations_3!B190-UF_Calculations_3!B172</f>
        <v>25976.204020197678</v>
      </c>
    </row>
    <row r="15" spans="1:8">
      <c r="A15" t="s">
        <v>345</v>
      </c>
      <c r="B15" s="296">
        <f>UF_Calculations_3!M207</f>
        <v>-0.10058326585777985</v>
      </c>
      <c r="C15" s="297">
        <f>UF_Calculations_6!M207</f>
        <v>-9.7010246311031154E-2</v>
      </c>
      <c r="E15" s="269">
        <f>UF_Calculations_5!M207</f>
        <v>-4.3776774255916862E-2</v>
      </c>
      <c r="F15" s="278"/>
    </row>
    <row r="17" spans="1:6">
      <c r="A17" s="401" t="s">
        <v>342</v>
      </c>
      <c r="B17" s="401"/>
      <c r="C17" s="401"/>
    </row>
    <row r="18" spans="1:6">
      <c r="A18" s="401"/>
      <c r="B18" s="401" t="s">
        <v>380</v>
      </c>
      <c r="C18" s="401" t="s">
        <v>348</v>
      </c>
      <c r="F18" s="294"/>
    </row>
    <row r="19" spans="1:6">
      <c r="A19" s="401" t="str">
        <f>A15</f>
        <v>Capping provider payment growth (2031)</v>
      </c>
      <c r="B19" s="512">
        <f>B15</f>
        <v>-0.10058326585777985</v>
      </c>
      <c r="C19" s="512">
        <f>C15</f>
        <v>-9.7010246311031154E-2</v>
      </c>
      <c r="F19" s="295"/>
    </row>
    <row r="20" spans="1:6">
      <c r="A20" s="401" t="str">
        <f>A14</f>
        <v>Expanding LTSS</v>
      </c>
      <c r="B20" s="512">
        <f>B14</f>
        <v>5.0243499143344007E-2</v>
      </c>
      <c r="C20" s="512">
        <f>C14</f>
        <v>0</v>
      </c>
      <c r="F20" s="295"/>
    </row>
    <row r="21" spans="1:6">
      <c r="A21" s="401" t="str">
        <f>A13</f>
        <v>Total of all changes above</v>
      </c>
      <c r="B21" s="512">
        <f>B13</f>
        <v>-3.0656010588608597E-2</v>
      </c>
      <c r="C21" s="512">
        <f>C13</f>
        <v>-2.3365936315595012E-2</v>
      </c>
      <c r="F21" s="295"/>
    </row>
    <row r="22" spans="1:6">
      <c r="A22" s="401" t="str">
        <f>A12</f>
        <v>Reserves</v>
      </c>
      <c r="B22" s="512">
        <f>B12</f>
        <v>9.4824476129246882E-3</v>
      </c>
      <c r="C22" s="512">
        <f>C12</f>
        <v>6.8416256047673426E-3</v>
      </c>
      <c r="F22" s="295"/>
    </row>
    <row r="23" spans="1:6">
      <c r="A23" s="401" t="str">
        <f>A11</f>
        <v>Just transition for administrative workers</v>
      </c>
      <c r="B23" s="512">
        <f>B11</f>
        <v>4.0335317287278965E-3</v>
      </c>
      <c r="C23" s="512">
        <f>C11</f>
        <v>2.0167658643638923E-3</v>
      </c>
      <c r="F23" s="295"/>
    </row>
    <row r="24" spans="1:6">
      <c r="A24" s="401" t="str">
        <f>A10</f>
        <v>Payer administrative savings</v>
      </c>
      <c r="B24" s="512">
        <f>B10</f>
        <v>-5.2805762972012157E-2</v>
      </c>
      <c r="C24" s="512">
        <f>C10</f>
        <v>-2.4441119283034128E-2</v>
      </c>
      <c r="F24" s="295"/>
    </row>
    <row r="25" spans="1:6">
      <c r="A25" s="401" t="str">
        <f>A9</f>
        <v>Provider administrative savings</v>
      </c>
      <c r="B25" s="512">
        <f>B9</f>
        <v>-4.2647084472694816E-2</v>
      </c>
      <c r="C25" s="512">
        <f>C9</f>
        <v>-2.0455106664294967E-2</v>
      </c>
      <c r="F25" s="295"/>
    </row>
    <row r="26" spans="1:6">
      <c r="A26" s="401" t="str">
        <f>A8</f>
        <v>Unwinding managed care</v>
      </c>
      <c r="B26" s="512">
        <f>B8</f>
        <v>3.8608959351842942E-2</v>
      </c>
      <c r="C26" s="512">
        <f>C8</f>
        <v>0</v>
      </c>
      <c r="F26" s="295"/>
    </row>
    <row r="27" spans="1:6">
      <c r="A27" s="401" t="str">
        <f>A7</f>
        <v>Lower drug prices</v>
      </c>
      <c r="B27" s="512">
        <f>B7</f>
        <v>-5.7674251069842628E-2</v>
      </c>
      <c r="C27" s="512">
        <f>C7</f>
        <v>-5.7674251069842628E-2</v>
      </c>
      <c r="F27" s="295"/>
    </row>
    <row r="28" spans="1:6">
      <c r="A28" s="401" t="str">
        <f>A6</f>
        <v>Zero cost sharing</v>
      </c>
      <c r="B28" s="512">
        <f>B6</f>
        <v>5.6538487425593392E-2</v>
      </c>
      <c r="C28" s="512">
        <f>C6</f>
        <v>5.6538487425593392E-2</v>
      </c>
      <c r="F28" s="295"/>
    </row>
    <row r="29" spans="1:6">
      <c r="A29" s="401" t="str">
        <f>A5</f>
        <v>Expanding adult dental</v>
      </c>
      <c r="B29" s="512">
        <f>B5</f>
        <v>3.1230778913520192E-3</v>
      </c>
      <c r="C29" s="512">
        <f>C5</f>
        <v>3.1230778913520192E-3</v>
      </c>
      <c r="F29" s="295"/>
    </row>
    <row r="30" spans="1:6">
      <c r="A30" s="401" t="str">
        <f>A4</f>
        <v>Universal coverage</v>
      </c>
      <c r="B30" s="512">
        <f>B4</f>
        <v>1.0684583915500064E-2</v>
      </c>
      <c r="C30" s="512">
        <f>C4</f>
        <v>1.0684583915500064E-2</v>
      </c>
      <c r="F30" s="29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6309-04FC-43A6-9C38-A4AC607696F5}">
  <dimension ref="A1:F104"/>
  <sheetViews>
    <sheetView topLeftCell="D78" workbookViewId="0">
      <selection activeCell="U88" sqref="U88"/>
    </sheetView>
  </sheetViews>
  <sheetFormatPr defaultRowHeight="14.5"/>
  <cols>
    <col min="1" max="1" width="63.1796875" bestFit="1" customWidth="1"/>
    <col min="2" max="2" width="12.54296875" bestFit="1" customWidth="1"/>
    <col min="3" max="5" width="10.54296875" customWidth="1"/>
  </cols>
  <sheetData>
    <row r="1" spans="1:2">
      <c r="A1" t="s">
        <v>475</v>
      </c>
    </row>
    <row r="2" spans="1:2">
      <c r="B2" t="s">
        <v>476</v>
      </c>
    </row>
    <row r="3" spans="1:2">
      <c r="A3" t="s">
        <v>211</v>
      </c>
      <c r="B3" s="13">
        <f>UF_Calculations_7!C8/1000</f>
        <v>204.38709717530497</v>
      </c>
    </row>
    <row r="4" spans="1:2">
      <c r="A4" t="s">
        <v>480</v>
      </c>
      <c r="B4" s="13">
        <f>UF_Calculations_7!C13/1000</f>
        <v>44.873047061021509</v>
      </c>
    </row>
    <row r="5" spans="1:2">
      <c r="A5" t="s">
        <v>543</v>
      </c>
      <c r="B5" s="13">
        <f>(UF_Calculations_7!C18)/1000</f>
        <v>112.94595483604951</v>
      </c>
    </row>
    <row r="6" spans="1:2">
      <c r="A6" t="s">
        <v>544</v>
      </c>
      <c r="B6" s="13">
        <f>(UF_Calculations_7!C22)/1000</f>
        <v>7.2831915596294392</v>
      </c>
    </row>
    <row r="7" spans="1:2">
      <c r="A7" t="s">
        <v>479</v>
      </c>
      <c r="B7" s="13">
        <f>UF_Calculations_7!C19/1000</f>
        <v>29.951648263106044</v>
      </c>
    </row>
    <row r="8" spans="1:2">
      <c r="A8" t="s">
        <v>477</v>
      </c>
      <c r="B8" s="13">
        <f>UF_Calculations_7!C21/1000</f>
        <v>50.923261074277605</v>
      </c>
    </row>
    <row r="9" spans="1:2">
      <c r="A9" t="s">
        <v>478</v>
      </c>
      <c r="B9" s="13">
        <f>UF_Calculations_7!C16/1000-Output_4!B5-B6-Output_4!B7-Output_4!B8</f>
        <v>21.371002274926212</v>
      </c>
    </row>
    <row r="10" spans="1:2">
      <c r="A10" t="s">
        <v>450</v>
      </c>
      <c r="B10" s="13">
        <f>UF_Calculations_7!C24/1000</f>
        <v>45.271066488838024</v>
      </c>
    </row>
    <row r="27" spans="1:3">
      <c r="A27" t="s">
        <v>481</v>
      </c>
    </row>
    <row r="28" spans="1:3">
      <c r="B28" t="s">
        <v>476</v>
      </c>
      <c r="C28" t="s">
        <v>483</v>
      </c>
    </row>
    <row r="29" spans="1:3">
      <c r="A29" t="s">
        <v>211</v>
      </c>
      <c r="B29" s="13">
        <f>UF_Calculations_7!C8/1000</f>
        <v>204.38709717530497</v>
      </c>
      <c r="C29" s="13">
        <f>UF_Calculations_7!S8/1000</f>
        <v>296.45540028663657</v>
      </c>
    </row>
    <row r="30" spans="1:3">
      <c r="A30" t="s">
        <v>480</v>
      </c>
      <c r="B30" s="13">
        <f>UF_Calculations_7!C13/1000</f>
        <v>44.873047061021509</v>
      </c>
      <c r="C30" s="13">
        <f>UF_Calculations_7!S13/1000</f>
        <v>60.518536039282218</v>
      </c>
    </row>
    <row r="31" spans="1:3">
      <c r="A31" t="s">
        <v>482</v>
      </c>
      <c r="B31" s="13">
        <f>UF_Calculations_7!C16/1000</f>
        <v>222.47505800798882</v>
      </c>
      <c r="C31" s="13">
        <f>UF_Calculations_7!S16/1000</f>
        <v>269.26923672075401</v>
      </c>
    </row>
    <row r="32" spans="1:3">
      <c r="A32" t="s">
        <v>450</v>
      </c>
      <c r="B32" s="13">
        <f>UF_Calculations_7!C24/1000</f>
        <v>45.271066488838024</v>
      </c>
      <c r="C32" s="13">
        <f>UF_Calculations_7!S24/1000</f>
        <v>48.804149375568784</v>
      </c>
    </row>
    <row r="47" spans="1:3">
      <c r="A47" t="s">
        <v>484</v>
      </c>
    </row>
    <row r="48" spans="1:3" ht="58">
      <c r="B48" t="s">
        <v>313</v>
      </c>
      <c r="C48" s="222" t="s">
        <v>499</v>
      </c>
    </row>
    <row r="49" spans="1:3">
      <c r="A49" t="s">
        <v>211</v>
      </c>
      <c r="B49" s="13">
        <f>B29</f>
        <v>204.38709717530497</v>
      </c>
      <c r="C49" s="13">
        <f>UF_Calculations_7!E8/1000</f>
        <v>204.38709717530497</v>
      </c>
    </row>
    <row r="50" spans="1:3">
      <c r="A50" t="s">
        <v>480</v>
      </c>
      <c r="B50" s="13">
        <f>B30</f>
        <v>44.873047061021509</v>
      </c>
      <c r="C50" s="13">
        <f>UF_Calculations_7!E13/1000</f>
        <v>44.873047061021509</v>
      </c>
    </row>
    <row r="51" spans="1:3">
      <c r="A51" t="s">
        <v>482</v>
      </c>
      <c r="B51" s="13">
        <f>B31</f>
        <v>222.47505800798882</v>
      </c>
      <c r="C51" s="13"/>
    </row>
    <row r="52" spans="1:3">
      <c r="A52" t="s">
        <v>1043</v>
      </c>
      <c r="B52" s="13"/>
      <c r="C52" s="13">
        <f>UF_Calculations_7!E16/1000</f>
        <v>206.62570835932843</v>
      </c>
    </row>
    <row r="53" spans="1:3">
      <c r="A53" t="s">
        <v>450</v>
      </c>
      <c r="B53" s="13">
        <f>B32</f>
        <v>45.271066488838024</v>
      </c>
      <c r="C53" s="13">
        <f>UF_Calculations_7!E24/1000</f>
        <v>45.271066488838024</v>
      </c>
    </row>
    <row r="71" spans="1:6">
      <c r="A71" t="s">
        <v>484</v>
      </c>
      <c r="C71">
        <v>2</v>
      </c>
      <c r="D71">
        <v>1</v>
      </c>
      <c r="E71">
        <v>4</v>
      </c>
      <c r="F71">
        <v>3</v>
      </c>
    </row>
    <row r="72" spans="1:6" ht="87">
      <c r="B72" s="222" t="s">
        <v>313</v>
      </c>
      <c r="C72" s="222" t="s">
        <v>1044</v>
      </c>
      <c r="D72" s="222" t="s">
        <v>1045</v>
      </c>
      <c r="E72" s="222" t="s">
        <v>1046</v>
      </c>
      <c r="F72" s="222" t="s">
        <v>1047</v>
      </c>
    </row>
    <row r="73" spans="1:6">
      <c r="A73" t="s">
        <v>211</v>
      </c>
      <c r="B73" s="13">
        <f>B49</f>
        <v>204.38709717530497</v>
      </c>
      <c r="C73" s="13">
        <f>UF_Calculations_7!$I$8/1000</f>
        <v>204.38709717530497</v>
      </c>
      <c r="D73" s="13">
        <f>$C$49</f>
        <v>204.38709717530497</v>
      </c>
      <c r="E73" s="13">
        <f>UF_Calculations_7!$Q$8/1000</f>
        <v>204.38709717530497</v>
      </c>
      <c r="F73" s="13">
        <f>UF_Calculations_7!$O$8/1000</f>
        <v>204.38709717530497</v>
      </c>
    </row>
    <row r="74" spans="1:6">
      <c r="A74" t="s">
        <v>480</v>
      </c>
      <c r="B74" s="13">
        <f>B50</f>
        <v>44.873047061021509</v>
      </c>
      <c r="C74" s="13">
        <f>UF_Calculations_7!$I$13/1000</f>
        <v>44.873047061021509</v>
      </c>
      <c r="D74" s="13">
        <f>$C$50</f>
        <v>44.873047061021509</v>
      </c>
      <c r="E74" s="13">
        <f>UF_Calculations_7!$Q$13/1000</f>
        <v>44.873047061021509</v>
      </c>
      <c r="F74" s="13">
        <f>UF_Calculations_7!$O$13/1000</f>
        <v>44.873047061021509</v>
      </c>
    </row>
    <row r="75" spans="1:6">
      <c r="A75" t="s">
        <v>482</v>
      </c>
      <c r="B75" s="13">
        <f>B51</f>
        <v>222.47505800798882</v>
      </c>
      <c r="C75" s="13">
        <f>UF_Calculations_7!$C$34/1000</f>
        <v>19.789477447491631</v>
      </c>
      <c r="D75" s="13">
        <f>$C$51</f>
        <v>0</v>
      </c>
      <c r="E75" s="13">
        <f>UF_Calculations_7!$Q$23/1000</f>
        <v>19.789477447491631</v>
      </c>
      <c r="F75" s="13"/>
    </row>
    <row r="76" spans="1:6">
      <c r="A76" t="s">
        <v>1043</v>
      </c>
      <c r="B76" s="13">
        <f>B52</f>
        <v>0</v>
      </c>
      <c r="C76" s="13">
        <f>UF_Calculations_7!$I$16/1000</f>
        <v>167.90571450115408</v>
      </c>
      <c r="D76" s="13">
        <f>$C$52</f>
        <v>206.62570835932843</v>
      </c>
      <c r="E76" s="13">
        <f>UF_Calculations_7!$Q$16/1000</f>
        <v>193.86628527619183</v>
      </c>
      <c r="F76" s="13">
        <f>UF_Calculations_7!$O$16/1000</f>
        <v>232.60191237952603</v>
      </c>
    </row>
    <row r="77" spans="1:6">
      <c r="A77" t="s">
        <v>450</v>
      </c>
      <c r="B77" s="13">
        <f>B53</f>
        <v>45.271066488838024</v>
      </c>
      <c r="C77" s="13">
        <f>UF_Calculations_7!$I$24/1000</f>
        <v>45.271066488838024</v>
      </c>
      <c r="D77" s="13">
        <f>$C$53</f>
        <v>45.271066488838024</v>
      </c>
      <c r="E77" s="13">
        <f>UF_Calculations_7!$Q$24/1000</f>
        <v>45.271066488838024</v>
      </c>
      <c r="F77" s="13">
        <f>UF_Calculations_7!$O$24/1000</f>
        <v>45.271066488838024</v>
      </c>
    </row>
    <row r="90" spans="1:5">
      <c r="A90" t="s">
        <v>526</v>
      </c>
    </row>
    <row r="91" spans="1:5" ht="72.5">
      <c r="B91" s="222" t="s">
        <v>524</v>
      </c>
      <c r="C91" s="222" t="s">
        <v>522</v>
      </c>
      <c r="D91" s="222" t="s">
        <v>525</v>
      </c>
      <c r="E91" s="222" t="s">
        <v>523</v>
      </c>
    </row>
    <row r="92" spans="1:5">
      <c r="A92" t="s">
        <v>211</v>
      </c>
      <c r="B92" s="13">
        <f>UF_Calculations_7!V8/1000</f>
        <v>296.45540028663657</v>
      </c>
      <c r="C92" s="13">
        <f>UF_Calculations_7!T8/1000</f>
        <v>296.45540028663657</v>
      </c>
      <c r="D92" s="13">
        <f>UF_Calculations_7!Y8/1000</f>
        <v>265.55953465546492</v>
      </c>
      <c r="E92" s="13">
        <f>UF_Calculations_7!X8/1000</f>
        <v>284.21355728533331</v>
      </c>
    </row>
    <row r="93" spans="1:5">
      <c r="A93" t="s">
        <v>529</v>
      </c>
      <c r="B93" s="13">
        <f>UF_Calculations_7!V13/1000</f>
        <v>48.381233168326368</v>
      </c>
      <c r="C93" s="13">
        <f>UF_Calculations_7!T13/1000</f>
        <v>55.945140499439148</v>
      </c>
      <c r="D93" s="13">
        <f>UF_Calculations_7!Y13/1000</f>
        <v>48.381233168326368</v>
      </c>
      <c r="E93" s="13">
        <f>UF_Calculations_7!X13/1000</f>
        <v>55.945140499439148</v>
      </c>
    </row>
    <row r="94" spans="1:5">
      <c r="A94" t="s">
        <v>1048</v>
      </c>
      <c r="B94" s="13">
        <f>UF_Calculations_7!V16/1000</f>
        <v>193.34024778821239</v>
      </c>
      <c r="C94" s="13">
        <f>UF_Calculations_7!T16/1000</f>
        <v>223.06612958624063</v>
      </c>
      <c r="D94" s="13">
        <f>UF_Calculations_7!Y16/1000</f>
        <v>224.23611341938403</v>
      </c>
      <c r="E94" s="13">
        <f>UF_Calculations_7!X16/1000</f>
        <v>235.3079725875439</v>
      </c>
    </row>
    <row r="95" spans="1:5">
      <c r="A95" t="s">
        <v>450</v>
      </c>
      <c r="B95" s="13">
        <f>UF_Calculations_7!V24/1000</f>
        <v>48.804149375568784</v>
      </c>
      <c r="C95" s="13">
        <f>UF_Calculations_7!T24/1000</f>
        <v>48.804149375568784</v>
      </c>
      <c r="D95" s="13">
        <f>UF_Calculations_7!Y24/1000</f>
        <v>48.804149375568784</v>
      </c>
      <c r="E95" s="13">
        <f>UF_Calculations_7!X24/1000</f>
        <v>48.804149375568784</v>
      </c>
    </row>
    <row r="96" spans="1:5">
      <c r="A96" t="s">
        <v>498</v>
      </c>
      <c r="B96" s="13">
        <f>UF_Calculations_7!$C$55/1000</f>
        <v>241.88331456143629</v>
      </c>
      <c r="C96" s="13">
        <f>UF_Calculations_7!$C$55/1000</f>
        <v>241.88331456143629</v>
      </c>
      <c r="D96" s="13">
        <f>UF_Calculations_7!$C$55/1000</f>
        <v>241.88331456143629</v>
      </c>
      <c r="E96" s="13">
        <f>UF_Calculations_7!$C$55/1000</f>
        <v>241.88331456143629</v>
      </c>
    </row>
    <row r="99" spans="2:5">
      <c r="B99" s="222"/>
      <c r="C99" s="222"/>
      <c r="D99" s="222"/>
      <c r="E99" s="222"/>
    </row>
    <row r="100" spans="2:5">
      <c r="B100" s="13"/>
      <c r="C100" s="13"/>
      <c r="D100" s="13"/>
      <c r="E100" s="13"/>
    </row>
    <row r="101" spans="2:5">
      <c r="B101" s="13"/>
      <c r="C101" s="13"/>
      <c r="D101" s="13"/>
      <c r="E101" s="13"/>
    </row>
    <row r="102" spans="2:5">
      <c r="B102" s="13"/>
      <c r="C102" s="13"/>
      <c r="D102" s="13"/>
      <c r="E102" s="13"/>
    </row>
    <row r="103" spans="2:5">
      <c r="B103" s="13"/>
      <c r="C103" s="13"/>
      <c r="D103" s="13"/>
      <c r="E103" s="13"/>
    </row>
    <row r="104" spans="2:5">
      <c r="B104" s="13"/>
      <c r="C104" s="13"/>
      <c r="D104" s="13"/>
      <c r="E104" s="13"/>
    </row>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7"/>
  <sheetViews>
    <sheetView workbookViewId="0">
      <pane ySplit="1" topLeftCell="A22" activePane="bottomLeft" state="frozen"/>
      <selection activeCell="D7" sqref="D7"/>
      <selection pane="bottomLeft" activeCell="D7" sqref="D7"/>
    </sheetView>
  </sheetViews>
  <sheetFormatPr defaultColWidth="8.81640625" defaultRowHeight="14.5"/>
  <cols>
    <col min="1" max="1" width="72.453125" bestFit="1" customWidth="1"/>
    <col min="2" max="2" width="14.26953125" bestFit="1" customWidth="1"/>
    <col min="3" max="3" width="11.453125" bestFit="1" customWidth="1"/>
    <col min="4" max="4" width="11.453125" customWidth="1"/>
    <col min="5" max="9" width="11.453125" bestFit="1" customWidth="1"/>
    <col min="10" max="10" width="12.1796875" style="10" bestFit="1" customWidth="1"/>
    <col min="11" max="19" width="11.453125" bestFit="1" customWidth="1"/>
    <col min="20" max="20" width="5.1796875" bestFit="1" customWidth="1"/>
    <col min="21" max="21" width="10" bestFit="1" customWidth="1"/>
  </cols>
  <sheetData>
    <row r="1" spans="1:19">
      <c r="A1" s="7"/>
      <c r="B1">
        <v>2014</v>
      </c>
      <c r="C1">
        <v>2015</v>
      </c>
      <c r="D1">
        <v>2016</v>
      </c>
      <c r="E1">
        <v>2017</v>
      </c>
      <c r="F1">
        <v>2018</v>
      </c>
      <c r="G1">
        <v>2019</v>
      </c>
      <c r="H1">
        <v>2020</v>
      </c>
      <c r="I1">
        <v>2021</v>
      </c>
      <c r="J1" s="190">
        <v>2022</v>
      </c>
      <c r="K1" s="7">
        <v>2023</v>
      </c>
      <c r="L1" s="7">
        <v>2024</v>
      </c>
      <c r="M1" s="7">
        <v>2025</v>
      </c>
      <c r="N1" s="7">
        <v>2026</v>
      </c>
      <c r="O1" s="7">
        <v>2027</v>
      </c>
      <c r="P1" s="7">
        <v>2028</v>
      </c>
      <c r="Q1" s="7">
        <v>2029</v>
      </c>
      <c r="R1" s="7">
        <v>2030</v>
      </c>
      <c r="S1" s="7">
        <v>2031</v>
      </c>
    </row>
    <row r="2" spans="1:19" s="2" customFormat="1">
      <c r="A2" s="2" t="s">
        <v>252</v>
      </c>
      <c r="J2" s="11"/>
    </row>
    <row r="3" spans="1:19">
      <c r="A3" s="264" t="s">
        <v>253</v>
      </c>
      <c r="B3" s="13">
        <f>Input_GDP!$B$29</f>
        <v>2399077.7000000002</v>
      </c>
      <c r="C3" s="13">
        <f>Input_GDP!$B$30</f>
        <v>2559643.2000000002</v>
      </c>
      <c r="D3" s="13">
        <f>Input_GDP!$B$31</f>
        <v>2671100.5</v>
      </c>
      <c r="E3" s="13">
        <f>Input_GDP!$B$32</f>
        <v>2831038.4</v>
      </c>
      <c r="F3" s="13">
        <f>Input_GDP!$B$33</f>
        <v>2975083</v>
      </c>
      <c r="G3" s="13">
        <f>Input_GDP!$B$34</f>
        <v>3132800.6</v>
      </c>
      <c r="H3" s="13">
        <f>Input_GDP!$B$35</f>
        <v>3091871.5</v>
      </c>
      <c r="I3" s="13">
        <f>H3*(1+Input_CMS_6!K23/100)</f>
        <v>3221730.1030000001</v>
      </c>
      <c r="J3" s="14">
        <f>I3*(1+Input_CMS_6!L23/100)</f>
        <v>3366707.9576349999</v>
      </c>
      <c r="K3" s="13">
        <f>J3*(1+Input_CMS_6!M23/100)</f>
        <v>3514843.1077709398</v>
      </c>
      <c r="L3" s="13">
        <f>K3*(1+Input_CMS_6!N23/100)</f>
        <v>3676525.8907284033</v>
      </c>
      <c r="M3" s="13">
        <f>L3*(1+Input_CMS_6!O23/100)</f>
        <v>3841969.5558111812</v>
      </c>
      <c r="N3" s="13">
        <f>M3*(1+Input_CMS_6!P23/100)</f>
        <v>4011016.2162668733</v>
      </c>
      <c r="O3" s="13">
        <f>N3*(1+Input_CMS_6!Q23/100)</f>
        <v>4187500.929782616</v>
      </c>
      <c r="P3" s="13">
        <f>O3*(1+Input_CMS_6!R23/100)</f>
        <v>4371750.9706930509</v>
      </c>
      <c r="Q3" s="13">
        <f>P3*(1+AVERAGE(Input_CMS_6!$P$23:$R$23)/100)</f>
        <v>4564108.0134035451</v>
      </c>
      <c r="R3" s="13">
        <f>Q3*(1+AVERAGE(Input_CMS_6!$P$23:$R$23)/100)</f>
        <v>4764928.7659933018</v>
      </c>
      <c r="S3" s="13">
        <f>R3*(1+AVERAGE(Input_CMS_6!$P$23:$R$23)/100)</f>
        <v>4974585.6316970075</v>
      </c>
    </row>
    <row r="4" spans="1:19" s="2" customFormat="1">
      <c r="A4" s="2" t="s">
        <v>21</v>
      </c>
      <c r="J4" s="11"/>
    </row>
    <row r="5" spans="1:19">
      <c r="A5" t="s">
        <v>4</v>
      </c>
      <c r="B5" s="13">
        <v>106487</v>
      </c>
      <c r="C5" s="13">
        <f>B5*(1+Input_CMS_4!U29/100)</f>
        <v>112024.32400000001</v>
      </c>
      <c r="D5" s="13">
        <f>C5*(1+Input_CMS_4!V29/100)</f>
        <v>117289.46722799999</v>
      </c>
      <c r="E5" s="13">
        <f>D5*(1+Input_CMS_4!W29/100)</f>
        <v>122098.33538434799</v>
      </c>
      <c r="F5" s="13">
        <f>E5*(1+Input_CMS_4!X29/100)</f>
        <v>127226.4654704906</v>
      </c>
      <c r="G5" s="13">
        <f>F5*(1+Input_CMS_4!Y29/100)</f>
        <v>135114.50632966103</v>
      </c>
      <c r="H5" s="13">
        <f>G5*(1+Input_CMS_5!J29/100)</f>
        <v>142005.34615247374</v>
      </c>
      <c r="I5" s="13">
        <f>H5*(1+Input_CMS_5!K29/100)</f>
        <v>150099.65088316472</v>
      </c>
      <c r="J5" s="14">
        <f>I5*(1+Input_CMS_5!L29/100)</f>
        <v>159105.62993615461</v>
      </c>
      <c r="K5" s="13">
        <f>J5*(1+Input_CMS_5!M29/100)</f>
        <v>168492.86210238773</v>
      </c>
      <c r="L5" s="13">
        <f>K5*(1+Input_CMS_5!N29/100)</f>
        <v>178265.44810432623</v>
      </c>
      <c r="M5" s="13">
        <f>L5*(1+Input_CMS_5!O29/100)</f>
        <v>188961.37499058581</v>
      </c>
      <c r="N5" s="13">
        <f>M5*(1+Input_CMS_5!P29/100)</f>
        <v>200865.94161499271</v>
      </c>
      <c r="O5" s="13">
        <f>N5*(1+Input_CMS_5!Q29/100)</f>
        <v>212717.03217027726</v>
      </c>
      <c r="P5" s="13">
        <f>O5*(1+Input_CMS_5!R29/100)</f>
        <v>225267.3370683236</v>
      </c>
      <c r="Q5" s="13">
        <f>P5*(1+AVERAGE(Input_CMS_5!$P29:$R29)/100)</f>
        <v>238858.46640477912</v>
      </c>
      <c r="R5" s="13">
        <f>Q5*(1+AVERAGE(Input_CMS_5!$P29:$R29)/100)</f>
        <v>253269.59387786745</v>
      </c>
      <c r="S5" s="13">
        <f>R5*(1+AVERAGE(Input_CMS_5!$P29:$R29)/100)</f>
        <v>268550.1927084988</v>
      </c>
    </row>
    <row r="6" spans="1:19">
      <c r="A6" t="s">
        <v>5</v>
      </c>
      <c r="B6" s="13">
        <v>76688</v>
      </c>
      <c r="C6" s="13">
        <f>B6*(1+Input_CMS_4!U31/100)</f>
        <v>81749.40800000001</v>
      </c>
      <c r="D6" s="13">
        <f>C6*(1+Input_CMS_4!V31/100)</f>
        <v>86817.871296000012</v>
      </c>
      <c r="E6" s="13">
        <f>D6*(1+Input_CMS_4!W31/100)</f>
        <v>91158.764860800016</v>
      </c>
      <c r="F6" s="13">
        <f>E6*(1+Input_CMS_4!X31/100)</f>
        <v>94805.115455232022</v>
      </c>
      <c r="G6" s="13">
        <f>F6*(1+Input_CMS_4!Y31/100)</f>
        <v>99166.150766172694</v>
      </c>
      <c r="H6" s="13">
        <f>G6*(1+Input_CMS_5!J31/100)</f>
        <v>104025.29215371516</v>
      </c>
      <c r="I6" s="13">
        <f>H6*(1+Input_CMS_5!K31/100)</f>
        <v>109642.65793001578</v>
      </c>
      <c r="J6" s="14">
        <f>I6*(1+Input_CMS_5!L31/100)</f>
        <v>115673.00411616663</v>
      </c>
      <c r="K6" s="13">
        <f>J6*(1+Input_CMS_5!M31/100)</f>
        <v>122035.01934255578</v>
      </c>
      <c r="L6" s="13">
        <f>K6*(1+Input_CMS_5!N31/100)</f>
        <v>128746.94540639633</v>
      </c>
      <c r="M6" s="13">
        <f>L6*(1+Input_CMS_5!O31/100)</f>
        <v>136214.26823996732</v>
      </c>
      <c r="N6" s="13">
        <f>M6*(1+Input_CMS_5!P31/100)</f>
        <v>143706.0529931655</v>
      </c>
      <c r="O6" s="13">
        <f>N6*(1+Input_CMS_5!Q31/100)</f>
        <v>151753.59196078277</v>
      </c>
      <c r="P6" s="13">
        <f>O6*(1+Input_CMS_5!R31/100)</f>
        <v>160251.79311058662</v>
      </c>
      <c r="Q6" s="13">
        <f>P6*(1+AVERAGE(Input_CMS_5!$P31:$R31)/100)</f>
        <v>169172.47626040928</v>
      </c>
      <c r="R6" s="13">
        <f>Q6*(1+AVERAGE(Input_CMS_5!$P31:$R31)/100)</f>
        <v>178589.74410557208</v>
      </c>
      <c r="S6" s="13">
        <f>R6*(1+AVERAGE(Input_CMS_5!$P31:$R31)/100)</f>
        <v>188531.23986078228</v>
      </c>
    </row>
    <row r="7" spans="1:19">
      <c r="A7" t="s">
        <v>6</v>
      </c>
      <c r="B7" s="13">
        <v>8376</v>
      </c>
      <c r="C7" s="13">
        <f>B7*(1+Input_CMS_4!U32/100)</f>
        <v>8886.9359999999997</v>
      </c>
      <c r="D7" s="13">
        <f>C7*(1+Input_CMS_4!V32/100)</f>
        <v>9366.8305440000004</v>
      </c>
      <c r="E7" s="13">
        <f>D7*(1+Input_CMS_4!W32/100)</f>
        <v>9835.1720712000006</v>
      </c>
      <c r="F7" s="13">
        <f>E7*(1+Input_CMS_4!X32/100)</f>
        <v>10572.80997654</v>
      </c>
      <c r="G7" s="13">
        <f>F7*(1+Input_CMS_4!Y32/100)</f>
        <v>11260.042625015099</v>
      </c>
      <c r="H7" s="13">
        <f>G7*(1+Input_CMS_5!J32/100)</f>
        <v>11834.304798890869</v>
      </c>
      <c r="I7" s="13">
        <f>H7*(1+Input_CMS_5!K32/100)</f>
        <v>12485.191562829867</v>
      </c>
      <c r="J7" s="14">
        <f>I7*(1+Input_CMS_5!L32/100)</f>
        <v>13171.877098785508</v>
      </c>
      <c r="K7" s="13">
        <f>J7*(1+Input_CMS_5!M32/100)</f>
        <v>13896.33033921871</v>
      </c>
      <c r="L7" s="13">
        <f>K7*(1+Input_CMS_5!N32/100)</f>
        <v>14660.628507875737</v>
      </c>
      <c r="M7" s="13">
        <f>L7*(1+Input_CMS_5!O32/100)</f>
        <v>15452.302447301028</v>
      </c>
      <c r="N7" s="13">
        <f>M7*(1+Input_CMS_5!P32/100)</f>
        <v>16286.726779455284</v>
      </c>
      <c r="O7" s="13">
        <f>N7*(1+Input_CMS_5!Q32/100)</f>
        <v>17182.496752325325</v>
      </c>
      <c r="P7" s="13">
        <f>O7*(1+Input_CMS_5!R32/100)</f>
        <v>18110.351576950892</v>
      </c>
      <c r="Q7" s="13">
        <f>P7*(1+AVERAGE(Input_CMS_5!$P32:$R32)/100)</f>
        <v>19094.347345965223</v>
      </c>
      <c r="R7" s="13">
        <f>Q7*(1+AVERAGE(Input_CMS_5!$P32:$R32)/100)</f>
        <v>20131.806885096001</v>
      </c>
      <c r="S7" s="13">
        <f>R7*(1+AVERAGE(Input_CMS_5!$P32:$R32)/100)</f>
        <v>21225.635059186217</v>
      </c>
    </row>
    <row r="8" spans="1:19">
      <c r="A8" t="s">
        <v>7</v>
      </c>
      <c r="B8" s="13">
        <v>14557</v>
      </c>
      <c r="C8" s="13">
        <f>B8*(1+Input_CMS_4!U33/100)</f>
        <v>15226.622000000001</v>
      </c>
      <c r="D8" s="13">
        <f>C8*(1+Input_CMS_4!V33/100)</f>
        <v>16018.406344000003</v>
      </c>
      <c r="E8" s="13">
        <f>D8*(1+Input_CMS_4!W33/100)</f>
        <v>16643.124191416002</v>
      </c>
      <c r="F8" s="13">
        <f>E8*(1+Input_CMS_4!X33/100)</f>
        <v>17441.994152603969</v>
      </c>
      <c r="G8" s="13">
        <f>F8*(1+Input_CMS_4!Y33/100)</f>
        <v>18174.557907013335</v>
      </c>
      <c r="H8" s="13">
        <f>G8*(1+Input_CMS_5!J33/100)</f>
        <v>18992.413012828933</v>
      </c>
      <c r="I8" s="13">
        <f>H8*(1+Input_CMS_5!K33/100)</f>
        <v>19828.079185393406</v>
      </c>
      <c r="J8" s="14">
        <f>I8*(1+Input_CMS_5!L33/100)</f>
        <v>20680.68659036532</v>
      </c>
      <c r="K8" s="13">
        <f>J8*(1+Input_CMS_5!M33/100)</f>
        <v>21590.636800341395</v>
      </c>
      <c r="L8" s="13">
        <f>K8*(1+Input_CMS_5!N33/100)</f>
        <v>22540.624819556419</v>
      </c>
      <c r="M8" s="13">
        <f>L8*(1+Input_CMS_5!O33/100)</f>
        <v>23532.412311616903</v>
      </c>
      <c r="N8" s="13">
        <f>M8*(1+Input_CMS_5!P33/100)</f>
        <v>24567.838453328048</v>
      </c>
      <c r="O8" s="13">
        <f>N8*(1+Input_CMS_5!Q33/100)</f>
        <v>25624.255506821151</v>
      </c>
      <c r="P8" s="13">
        <f>O8*(1+Input_CMS_5!R33/100)</f>
        <v>26726.09849361446</v>
      </c>
      <c r="Q8" s="13">
        <f>P8*(1+AVERAGE(Input_CMS_5!$P33:$R33)/100)</f>
        <v>27884.229428337749</v>
      </c>
      <c r="R8" s="13">
        <f>Q8*(1+AVERAGE(Input_CMS_5!$P33:$R33)/100)</f>
        <v>29092.54603689905</v>
      </c>
      <c r="S8" s="13">
        <f>R8*(1+AVERAGE(Input_CMS_5!$P33:$R33)/100)</f>
        <v>30353.223031831338</v>
      </c>
    </row>
    <row r="9" spans="1:19">
      <c r="A9" t="s">
        <v>8</v>
      </c>
      <c r="B9" s="13">
        <v>19164</v>
      </c>
      <c r="C9" s="13">
        <f>B9*(1+Input_CMS_4!U34/100)</f>
        <v>20773.776000000002</v>
      </c>
      <c r="D9" s="13">
        <f>C9*(1+Input_CMS_4!V34/100)</f>
        <v>21999.428784</v>
      </c>
      <c r="E9" s="13">
        <f>D9*(1+Input_CMS_4!W34/100)</f>
        <v>23319.394511040002</v>
      </c>
      <c r="F9" s="13">
        <f>E9*(1+Input_CMS_4!X34/100)</f>
        <v>24018.976346371204</v>
      </c>
      <c r="G9" s="13">
        <f>F9*(1+Input_CMS_4!Y34/100)</f>
        <v>24307.20406252766</v>
      </c>
      <c r="H9" s="13">
        <f>G9*(1+Input_CMS_5!J34/100)</f>
        <v>25546.871469716571</v>
      </c>
      <c r="I9" s="13">
        <f>H9*(1+Input_CMS_5!K34/100)</f>
        <v>27003.043143490413</v>
      </c>
      <c r="J9" s="14">
        <f>I9*(1+Input_CMS_5!L34/100)</f>
        <v>28596.222688956346</v>
      </c>
      <c r="K9" s="13">
        <f>J9*(1+Input_CMS_5!M34/100)</f>
        <v>30226.207382226858</v>
      </c>
      <c r="L9" s="13">
        <f>K9*(1+Input_CMS_5!N34/100)</f>
        <v>31828.19637348488</v>
      </c>
      <c r="M9" s="13">
        <f>L9*(1+Input_CMS_5!O34/100)</f>
        <v>33642.403566773515</v>
      </c>
      <c r="N9" s="13">
        <f>M9*(1+Input_CMS_5!P34/100)</f>
        <v>35560.020570079607</v>
      </c>
      <c r="O9" s="13">
        <f>N9*(1+Input_CMS_5!Q34/100)</f>
        <v>37586.941742574141</v>
      </c>
      <c r="P9" s="13">
        <f>O9*(1+Input_CMS_5!R34/100)</f>
        <v>39691.810480158296</v>
      </c>
      <c r="Q9" s="13">
        <f>P9*(1+AVERAGE(Input_CMS_5!$P34:$R34)/100)</f>
        <v>41941.01307403393</v>
      </c>
      <c r="R9" s="13">
        <f>Q9*(1+AVERAGE(Input_CMS_5!$P34:$R34)/100)</f>
        <v>44317.67048156252</v>
      </c>
      <c r="S9" s="13">
        <f>R9*(1+AVERAGE(Input_CMS_5!$P34:$R34)/100)</f>
        <v>46829.005142184396</v>
      </c>
    </row>
    <row r="10" spans="1:19">
      <c r="A10" t="s">
        <v>9</v>
      </c>
      <c r="B10" s="13">
        <v>11253</v>
      </c>
      <c r="C10" s="13">
        <f>B10*(1+Input_CMS_4!U35/100)</f>
        <v>11973.192000000001</v>
      </c>
      <c r="D10" s="13">
        <f>C10*(1+Input_CMS_4!V35/100)</f>
        <v>12595.797984000001</v>
      </c>
      <c r="E10" s="13">
        <f>D10*(1+Input_CMS_4!W35/100)</f>
        <v>13301.162671104001</v>
      </c>
      <c r="F10" s="13">
        <f>E10*(1+Input_CMS_4!X35/100)</f>
        <v>14032.72661801472</v>
      </c>
      <c r="G10" s="13">
        <f>F10*(1+Input_CMS_4!Y35/100)</f>
        <v>15113.246567601853</v>
      </c>
      <c r="H10" s="13">
        <f>G10*(1+Input_CMS_5!J35/100)</f>
        <v>16125.834087631176</v>
      </c>
      <c r="I10" s="13">
        <f>H10*(1+Input_CMS_5!K35/100)</f>
        <v>17270.768307852988</v>
      </c>
      <c r="J10" s="14">
        <f>I10*(1+Input_CMS_5!L35/100)</f>
        <v>18514.263626018404</v>
      </c>
      <c r="K10" s="13">
        <f>J10*(1+Input_CMS_5!M35/100)</f>
        <v>19847.290607091731</v>
      </c>
      <c r="L10" s="13">
        <f>K10*(1+Input_CMS_5!N35/100)</f>
        <v>21236.600949588152</v>
      </c>
      <c r="M10" s="13">
        <f>L10*(1+Input_CMS_5!O35/100)</f>
        <v>22744.399617008909</v>
      </c>
      <c r="N10" s="13">
        <f>M10*(1+Input_CMS_5!P35/100)</f>
        <v>24336.507590199533</v>
      </c>
      <c r="O10" s="13">
        <f>N10*(1+Input_CMS_5!Q35/100)</f>
        <v>26088.7361366939</v>
      </c>
      <c r="P10" s="13">
        <f>O10*(1+Input_CMS_5!R35/100)</f>
        <v>27967.125138535863</v>
      </c>
      <c r="Q10" s="13">
        <f>P10*(1+AVERAGE(Input_CMS_5!$P35:$R35)/100)</f>
        <v>29962.113398418085</v>
      </c>
      <c r="R10" s="13">
        <f>Q10*(1+AVERAGE(Input_CMS_5!$P35:$R35)/100)</f>
        <v>32099.410820838573</v>
      </c>
      <c r="S10" s="13">
        <f>R10*(1+AVERAGE(Input_CMS_5!$P35:$R35)/100)</f>
        <v>34389.168792725053</v>
      </c>
    </row>
    <row r="11" spans="1:19">
      <c r="A11" t="s">
        <v>10</v>
      </c>
      <c r="B11" s="13">
        <v>14799</v>
      </c>
      <c r="C11" s="13">
        <f>B11*(1+Input_CMS_4!U36/100)</f>
        <v>15183.774000000001</v>
      </c>
      <c r="D11" s="13">
        <f>C11*(1+Input_CMS_4!V36/100)</f>
        <v>15684.838542</v>
      </c>
      <c r="E11" s="13">
        <f>D11*(1+Input_CMS_4!W36/100)</f>
        <v>15873.056604504</v>
      </c>
      <c r="F11" s="13">
        <f>E11*(1+Input_CMS_4!X36/100)</f>
        <v>16238.13690640759</v>
      </c>
      <c r="G11" s="13">
        <f>F11*(1+Input_CMS_4!Y36/100)</f>
        <v>16773.99542431904</v>
      </c>
      <c r="H11" s="13">
        <f>G11*(1+Input_CMS_5!J36/100)</f>
        <v>17545.599213837719</v>
      </c>
      <c r="I11" s="13">
        <f>H11*(1+Input_CMS_5!K36/100)</f>
        <v>18370.242376888091</v>
      </c>
      <c r="J11" s="14">
        <f>I11*(1+Input_CMS_5!L36/100)</f>
        <v>19252.014010978721</v>
      </c>
      <c r="K11" s="13">
        <f>J11*(1+Input_CMS_5!M36/100)</f>
        <v>20176.1106835057</v>
      </c>
      <c r="L11" s="13">
        <f>K11*(1+Input_CMS_5!N36/100)</f>
        <v>21084.035664263454</v>
      </c>
      <c r="M11" s="13">
        <f>L11*(1+Input_CMS_5!O36/100)</f>
        <v>22032.817269155308</v>
      </c>
      <c r="N11" s="13">
        <f>M11*(1+Input_CMS_5!P36/100)</f>
        <v>23068.359680805606</v>
      </c>
      <c r="O11" s="13">
        <f>N11*(1+Input_CMS_5!Q36/100)</f>
        <v>24198.709305165081</v>
      </c>
      <c r="P11" s="13">
        <f>O11*(1+Input_CMS_5!R36/100)</f>
        <v>25457.042189033666</v>
      </c>
      <c r="Q11" s="13">
        <f>P11*(1+AVERAGE(Input_CMS_5!$P36:$R36)/100)</f>
        <v>26712.922937025989</v>
      </c>
      <c r="R11" s="13">
        <f>Q11*(1+AVERAGE(Input_CMS_5!$P36:$R36)/100)</f>
        <v>28030.760468585937</v>
      </c>
      <c r="S11" s="13">
        <f>R11*(1+AVERAGE(Input_CMS_5!$P36:$R36)/100)</f>
        <v>29413.611318369505</v>
      </c>
    </row>
    <row r="12" spans="1:19">
      <c r="A12" s="6" t="s">
        <v>17</v>
      </c>
      <c r="B12" s="16">
        <f>36924*298/(298+65.5)</f>
        <v>30270.569463548833</v>
      </c>
      <c r="C12" s="13">
        <f>B12*(1+Input_CMS_4!U38/100)</f>
        <v>32934.379576341133</v>
      </c>
      <c r="D12" s="13">
        <f>C12*(1+Input_CMS_4!V38/100)</f>
        <v>33494.264029138925</v>
      </c>
      <c r="E12" s="13">
        <f>D12*(1+Input_CMS_4!W38/100)</f>
        <v>34231.137837779985</v>
      </c>
      <c r="F12" s="13">
        <f>E12*(1+Input_CMS_4!X38/100)</f>
        <v>35531.921075615624</v>
      </c>
      <c r="G12" s="13">
        <f>F12*(1+Input_CMS_4!Y38/100)</f>
        <v>37557.240576925709</v>
      </c>
      <c r="H12" s="13">
        <f>G12*(1+Input_CMS_5!J38/100)</f>
        <v>38946.858478271955</v>
      </c>
      <c r="I12" s="13">
        <f>H12*(1+Input_CMS_5!K38/100)</f>
        <v>40816.307685229011</v>
      </c>
      <c r="J12" s="14">
        <f>I12*(1+Input_CMS_5!L38/100)</f>
        <v>43142.837223287061</v>
      </c>
      <c r="K12" s="13">
        <f>J12*(1+Input_CMS_5!M38/100)</f>
        <v>45645.121782237715</v>
      </c>
      <c r="L12" s="13">
        <f>K12*(1+Input_CMS_5!N38/100)</f>
        <v>48338.183967389734</v>
      </c>
      <c r="M12" s="13">
        <f>L12*(1+Input_CMS_5!O38/100)</f>
        <v>51141.798637498337</v>
      </c>
      <c r="N12" s="13">
        <f>M12*(1+Input_CMS_5!P38/100)</f>
        <v>54210.30655574824</v>
      </c>
      <c r="O12" s="13">
        <f>N12*(1+Input_CMS_5!Q38/100)</f>
        <v>57462.92494909314</v>
      </c>
      <c r="P12" s="13">
        <f>O12*(1+Input_CMS_5!R38/100)</f>
        <v>60853.237521089628</v>
      </c>
      <c r="Q12" s="13">
        <f>P12*(1+AVERAGE(Input_CMS_5!$P38:$R38)/100)</f>
        <v>64484.147359847979</v>
      </c>
      <c r="R12" s="13">
        <f>Q12*(1+AVERAGE(Input_CMS_5!$P38:$R38)/100)</f>
        <v>68331.701485652244</v>
      </c>
      <c r="S12" s="13">
        <f>R12*(1+AVERAGE(Input_CMS_5!$P38:$R38)/100)</f>
        <v>72408.826340962827</v>
      </c>
    </row>
    <row r="13" spans="1:19">
      <c r="A13" s="6" t="s">
        <v>16</v>
      </c>
      <c r="B13" s="16">
        <f>36924*65.5/(298+65.5)</f>
        <v>6653.4305364511692</v>
      </c>
      <c r="C13" s="13">
        <f>B13*(1+Input_CMS_4!U40/100)</f>
        <v>7032.6760770288856</v>
      </c>
      <c r="D13" s="13">
        <f>C13*(1+Input_CMS_4!V40/100)</f>
        <v>7335.0811483411271</v>
      </c>
      <c r="E13" s="13">
        <f>D13*(1+Input_CMS_4!W40/100)</f>
        <v>7599.1440696814079</v>
      </c>
      <c r="F13" s="13">
        <f>E13*(1+Input_CMS_4!X40/100)</f>
        <v>7887.9115443293013</v>
      </c>
      <c r="G13" s="13">
        <f>F13*(1+Input_CMS_4!Y40/100)</f>
        <v>8329.6345908117419</v>
      </c>
      <c r="H13" s="13">
        <f>G13*(1+Input_CMS_5!J41/100)</f>
        <v>8762.7755895339524</v>
      </c>
      <c r="I13" s="13">
        <f>H13*(1+Input_CMS_5!K41/100)</f>
        <v>9192.1515934211147</v>
      </c>
      <c r="J13" s="14">
        <f>I13*(1+Input_CMS_5!L41/100)</f>
        <v>9605.7984151250639</v>
      </c>
      <c r="K13" s="13">
        <f>J13*(1+Input_CMS_5!M41/100)</f>
        <v>10047.665142220818</v>
      </c>
      <c r="L13" s="13">
        <f>K13*(1+Input_CMS_5!N41/100)</f>
        <v>10519.905403905195</v>
      </c>
      <c r="M13" s="13">
        <f>L13*(1+Input_CMS_5!O41/100)</f>
        <v>11014.340957888739</v>
      </c>
      <c r="N13" s="13">
        <f>M13*(1+Input_CMS_5!P41/100)</f>
        <v>11532.014982909508</v>
      </c>
      <c r="O13" s="13">
        <f>N13*(1+Input_CMS_5!Q41/100)</f>
        <v>12085.551702089166</v>
      </c>
      <c r="P13" s="13">
        <f>O13*(1+Input_CMS_5!R41/100)</f>
        <v>12665.658183789446</v>
      </c>
      <c r="Q13" s="13">
        <f>P13*(1+AVERAGE(Input_CMS_5!$P41:$R41)/100)</f>
        <v>13269.387890550077</v>
      </c>
      <c r="R13" s="13">
        <f>Q13*(1+AVERAGE(Input_CMS_5!$P41:$R41)/100)</f>
        <v>13901.895379999632</v>
      </c>
      <c r="S13" s="13">
        <f>R13*(1+AVERAGE(Input_CMS_5!$P41:$R41)/100)</f>
        <v>14564.55239311295</v>
      </c>
    </row>
    <row r="14" spans="1:19">
      <c r="A14" s="6" t="s">
        <v>11</v>
      </c>
      <c r="B14" s="17">
        <v>3740</v>
      </c>
      <c r="C14" s="13">
        <f>B14*(1+Input_CMS_4!U39/100)</f>
        <v>3919.52</v>
      </c>
      <c r="D14" s="13">
        <f>C14*(1+Input_CMS_4!V39/100)</f>
        <v>4091.9788800000001</v>
      </c>
      <c r="E14" s="13">
        <f>D14*(1+Input_CMS_4!W39/100)</f>
        <v>4210.64626752</v>
      </c>
      <c r="F14" s="13">
        <f>E14*(1+Input_CMS_4!X39/100)</f>
        <v>4408.5466420934399</v>
      </c>
      <c r="G14" s="13">
        <f>F14*(1+Input_CMS_4!Y39/100)</f>
        <v>4628.973974198112</v>
      </c>
      <c r="H14" s="13">
        <f>G14*(1+Input_CMS_5!J40/100)</f>
        <v>4920.5993345725929</v>
      </c>
      <c r="I14" s="13">
        <f>H14*(1+Input_CMS_5!K40/100)</f>
        <v>5240.4382913198115</v>
      </c>
      <c r="J14" s="14">
        <f>I14*(1+Input_CMS_5!L40/100)</f>
        <v>5549.6241505076796</v>
      </c>
      <c r="K14" s="13">
        <f>J14*(1+Input_CMS_5!M40/100)</f>
        <v>5877.0519753876324</v>
      </c>
      <c r="L14" s="13">
        <f>K14*(1+Input_CMS_5!N40/100)</f>
        <v>6223.7980419355026</v>
      </c>
      <c r="M14" s="13">
        <f>L14*(1+Input_CMS_5!O40/100)</f>
        <v>6591.0021264096968</v>
      </c>
      <c r="N14" s="13">
        <f>M14*(1+Input_CMS_5!P40/100)</f>
        <v>6979.8712518678685</v>
      </c>
      <c r="O14" s="13">
        <f>N14*(1+Input_CMS_5!Q40/100)</f>
        <v>7405.6433982318085</v>
      </c>
      <c r="P14" s="13">
        <f>O14*(1+Input_CMS_5!R40/100)</f>
        <v>7820.3594285327899</v>
      </c>
      <c r="Q14" s="13">
        <f>P14*(1+AVERAGE(Input_CMS_5!$P40:$R40)/100)</f>
        <v>8279.1538483400473</v>
      </c>
      <c r="R14" s="13">
        <f>Q14*(1+AVERAGE(Input_CMS_5!$P40:$R40)/100)</f>
        <v>8764.8642074426625</v>
      </c>
      <c r="S14" s="13">
        <f>R14*(1+AVERAGE(Input_CMS_5!$P40:$R40)/100)</f>
        <v>9279.0695742792977</v>
      </c>
    </row>
    <row r="15" spans="1:19">
      <c r="A15" s="6" t="s">
        <v>166</v>
      </c>
      <c r="B15" s="17">
        <f>B16+B17</f>
        <v>27592.52</v>
      </c>
      <c r="C15" s="17">
        <f t="shared" ref="C15:S15" si="0">C16+C17</f>
        <v>28874.739999999998</v>
      </c>
      <c r="D15" s="17">
        <f t="shared" si="0"/>
        <v>30503.52</v>
      </c>
      <c r="E15" s="17">
        <f t="shared" si="0"/>
        <v>31474.219999999998</v>
      </c>
      <c r="F15" s="17">
        <f t="shared" si="0"/>
        <v>35275.72</v>
      </c>
      <c r="G15" s="17">
        <f t="shared" si="0"/>
        <v>34408.839999999997</v>
      </c>
      <c r="H15" s="17">
        <f t="shared" si="0"/>
        <v>37539.227180000002</v>
      </c>
      <c r="I15" s="17">
        <f t="shared" si="0"/>
        <v>38160.72094282</v>
      </c>
      <c r="J15" s="191">
        <f t="shared" si="0"/>
        <v>40359.567429287039</v>
      </c>
      <c r="K15" s="17">
        <f t="shared" si="0"/>
        <v>42677.281937153064</v>
      </c>
      <c r="L15" s="17">
        <f t="shared" si="0"/>
        <v>45050.763668809763</v>
      </c>
      <c r="M15" s="17">
        <f t="shared" si="0"/>
        <v>47574.810064210717</v>
      </c>
      <c r="N15" s="17">
        <f t="shared" si="0"/>
        <v>50271.326916484933</v>
      </c>
      <c r="O15" s="17">
        <f t="shared" si="0"/>
        <v>53161.805043134897</v>
      </c>
      <c r="P15" s="17">
        <f t="shared" si="0"/>
        <v>56133.018021245385</v>
      </c>
      <c r="Q15" s="17">
        <f t="shared" si="0"/>
        <v>59317.407768175421</v>
      </c>
      <c r="R15" s="17">
        <f t="shared" si="0"/>
        <v>62683.647913439258</v>
      </c>
      <c r="S15" s="17">
        <f t="shared" si="0"/>
        <v>66242.198956041</v>
      </c>
    </row>
    <row r="16" spans="1:19">
      <c r="A16" t="s">
        <v>167</v>
      </c>
      <c r="B16" s="13">
        <f>Input_CMS_4!T19*1000*0.1434</f>
        <v>6065.82</v>
      </c>
      <c r="C16" s="13">
        <f>Input_CMS_4!U19*1000*0.1434</f>
        <v>6137.52</v>
      </c>
      <c r="D16" s="13">
        <f>Input_CMS_4!V19*1000*0.1434</f>
        <v>6453</v>
      </c>
      <c r="E16" s="13">
        <f>Input_CMS_4!W19*1000*0.1434</f>
        <v>6453</v>
      </c>
      <c r="F16" s="13">
        <f>Input_CMS_4!X19*1000*0.1434</f>
        <v>6782.82</v>
      </c>
      <c r="G16" s="13">
        <f>Input_CMS_4!Y19*1000*0.1434</f>
        <v>7012.26</v>
      </c>
      <c r="H16" s="13">
        <f>G16*(1+Input_CMS_5!J42/100)</f>
        <v>7320.7994400000007</v>
      </c>
      <c r="I16" s="13">
        <f>H16*(1+Input_CMS_5!K42/100)</f>
        <v>7730.764208640001</v>
      </c>
      <c r="J16" s="14">
        <f>I16*(1+Input_CMS_5!L42/100)</f>
        <v>8225.5331179929617</v>
      </c>
      <c r="K16" s="13">
        <f>J16*(1+Input_CMS_5!M42/100)</f>
        <v>8743.7417044265185</v>
      </c>
      <c r="L16" s="13">
        <f>K16*(1+Input_CMS_5!N42/100)</f>
        <v>9250.8787232832565</v>
      </c>
      <c r="M16" s="13">
        <f>L16*(1+Input_CMS_5!O42/100)</f>
        <v>9805.9314466802516</v>
      </c>
      <c r="N16" s="13">
        <f>M16*(1+Input_CMS_5!P42/100)</f>
        <v>10462.928853607827</v>
      </c>
      <c r="O16" s="13">
        <f>N16*(1+Input_CMS_5!Q42/100)</f>
        <v>11163.945086799551</v>
      </c>
      <c r="P16" s="13">
        <f>O16*(1+Input_CMS_5!R42/100)</f>
        <v>11867.273627267921</v>
      </c>
      <c r="Q16" s="13">
        <f>P16*(1+AVERAGE(Input_CMS_5!$P42:$R42)/100)</f>
        <v>12646.55792879185</v>
      </c>
      <c r="R16" s="13">
        <f>Q16*(1+AVERAGE(Input_CMS_5!$P42:$R42)/100)</f>
        <v>13477.015232782516</v>
      </c>
      <c r="S16" s="13">
        <f>R16*(1+AVERAGE(Input_CMS_5!$P42:$R42)/100)</f>
        <v>14362.005899735235</v>
      </c>
    </row>
    <row r="17" spans="1:21">
      <c r="A17" t="s">
        <v>168</v>
      </c>
      <c r="B17" s="13">
        <f>Input_CMS_4!T20*1000*0.1142</f>
        <v>21526.7</v>
      </c>
      <c r="C17" s="13">
        <f>Input_CMS_4!U20*1000*0.1142</f>
        <v>22737.219999999998</v>
      </c>
      <c r="D17" s="13">
        <f>Input_CMS_4!V20*1000*0.1142</f>
        <v>24050.52</v>
      </c>
      <c r="E17" s="13">
        <f>Input_CMS_4!W20*1000*0.1142</f>
        <v>25021.219999999998</v>
      </c>
      <c r="F17" s="13">
        <f>Input_CMS_4!X20*1000*0.1142</f>
        <v>28492.899999999998</v>
      </c>
      <c r="G17" s="13">
        <f>Input_CMS_4!Y20*1000*0.1142</f>
        <v>27396.579999999998</v>
      </c>
      <c r="H17" s="13">
        <f>G17*(1+Input_CMS_5!J43/100)</f>
        <v>30218.427739999999</v>
      </c>
      <c r="I17" s="13">
        <f>H17*(1+Input_CMS_5!K43/100)</f>
        <v>30429.956734179996</v>
      </c>
      <c r="J17" s="14">
        <f>I17*(1+Input_CMS_5!L43/100)</f>
        <v>32134.034311294075</v>
      </c>
      <c r="K17" s="13">
        <f>J17*(1+Input_CMS_5!M43/100)</f>
        <v>33933.540232726547</v>
      </c>
      <c r="L17" s="13">
        <f>K17*(1+Input_CMS_5!N43/100)</f>
        <v>35799.884945526508</v>
      </c>
      <c r="M17" s="13">
        <f>L17*(1+Input_CMS_5!O43/100)</f>
        <v>37768.878617530463</v>
      </c>
      <c r="N17" s="13">
        <f>M17*(1+Input_CMS_5!P43/100)</f>
        <v>39808.39806287711</v>
      </c>
      <c r="O17" s="13">
        <f>N17*(1+Input_CMS_5!Q43/100)</f>
        <v>41997.859956335349</v>
      </c>
      <c r="P17" s="13">
        <f>O17*(1+Input_CMS_5!R43/100)</f>
        <v>44265.74439397746</v>
      </c>
      <c r="Q17" s="13">
        <f>P17*(1+AVERAGE(Input_CMS_5!$P43:$R43)/100)</f>
        <v>46670.849839383569</v>
      </c>
      <c r="R17" s="13">
        <f>Q17*(1+AVERAGE(Input_CMS_5!$P43:$R43)/100)</f>
        <v>49206.632680656745</v>
      </c>
      <c r="S17" s="13">
        <f>R17*(1+AVERAGE(Input_CMS_5!$P43:$R43)/100)</f>
        <v>51880.193056305761</v>
      </c>
    </row>
    <row r="18" spans="1:21">
      <c r="A18" t="s">
        <v>13</v>
      </c>
      <c r="B18" s="13">
        <f>Input_CMS_4!T21*1000*0.1214</f>
        <v>10246.16</v>
      </c>
      <c r="C18" s="13">
        <f>Input_CMS_4!U21*1000*0.1214</f>
        <v>10403.98</v>
      </c>
      <c r="D18" s="13">
        <f>Input_CMS_4!V21*1000*0.1214</f>
        <v>10731.76</v>
      </c>
      <c r="E18" s="13">
        <f>Input_CMS_4!W21*1000*0.1214</f>
        <v>11180.939999999999</v>
      </c>
      <c r="F18" s="13">
        <f>Input_CMS_4!X21*1000*0.1214</f>
        <v>11472.3</v>
      </c>
      <c r="G18" s="13">
        <f>Input_CMS_4!Y21*1000*0.1214</f>
        <v>11872.92</v>
      </c>
      <c r="H18" s="13">
        <f>G18*(1+Input_CMS_5!J44/100)</f>
        <v>12169.742999999999</v>
      </c>
      <c r="I18" s="13">
        <f>H18*(1+Input_CMS_5!K44/100)</f>
        <v>12534.835289999999</v>
      </c>
      <c r="J18" s="14">
        <f>I18*(1+Input_CMS_5!L44/100)</f>
        <v>12973.554525149999</v>
      </c>
      <c r="K18" s="13">
        <f>J18*(1+Input_CMS_5!M44/100)</f>
        <v>13427.628933530248</v>
      </c>
      <c r="L18" s="13">
        <f>K18*(1+Input_CMS_5!N44/100)</f>
        <v>13870.740688336746</v>
      </c>
      <c r="M18" s="13">
        <f>L18*(1+Input_CMS_5!O44/100)</f>
        <v>14397.828834493543</v>
      </c>
      <c r="N18" s="13">
        <f>M18*(1+Input_CMS_5!P44/100)</f>
        <v>14973.741987873285</v>
      </c>
      <c r="O18" s="13">
        <f>N18*(1+Input_CMS_5!Q44/100)</f>
        <v>15527.770441424596</v>
      </c>
      <c r="P18" s="13">
        <f>O18*(1+Input_CMS_5!R44/100)</f>
        <v>16071.242406874457</v>
      </c>
      <c r="Q18" s="13">
        <f>P18*(1+AVERAGE(Input_CMS_5!$P44:$R44)/100)</f>
        <v>16671.235456731101</v>
      </c>
      <c r="R18" s="13">
        <f>Q18*(1+AVERAGE(Input_CMS_5!$P44:$R44)/100)</f>
        <v>17293.628247115728</v>
      </c>
      <c r="S18" s="13">
        <f>R18*(1+AVERAGE(Input_CMS_5!$P44:$R44)/100)</f>
        <v>17939.257035008046</v>
      </c>
    </row>
    <row r="19" spans="1:21">
      <c r="A19" t="s">
        <v>71</v>
      </c>
      <c r="B19" s="13">
        <f>0.1214*Input_CMS_4!T22*1000</f>
        <v>19375.439999999999</v>
      </c>
      <c r="C19" s="13">
        <f>0.1214*Input_CMS_4!U22*1000</f>
        <v>19909.599999999999</v>
      </c>
      <c r="D19" s="13">
        <f>0.1214*Input_CMS_4!V22*1000</f>
        <v>20273.8</v>
      </c>
      <c r="E19" s="13">
        <f>0.1214*Input_CMS_4!W22*1000</f>
        <v>22034.1</v>
      </c>
      <c r="F19" s="13">
        <f>0.1214*Input_CMS_4!X22*1000</f>
        <v>23090.279999999995</v>
      </c>
      <c r="G19" s="13">
        <f>0.1214*Input_CMS_4!Y22*1000</f>
        <v>24486.379999999997</v>
      </c>
      <c r="H19" s="13">
        <f>G19*(1+Input_CMS_5!J45/100)</f>
        <v>25735.185379999995</v>
      </c>
      <c r="I19" s="13">
        <f>H19*(1+Input_CMS_5!K45/100)</f>
        <v>27073.415019759996</v>
      </c>
      <c r="J19" s="14">
        <f>I19*(1+Input_CMS_5!L45/100)</f>
        <v>28697.819920945596</v>
      </c>
      <c r="K19" s="13">
        <f>J19*(1+Input_CMS_5!M45/100)</f>
        <v>30190.106556834769</v>
      </c>
      <c r="L19" s="13">
        <f>K19*(1+Input_CMS_5!N45/100)</f>
        <v>31759.992097790178</v>
      </c>
      <c r="M19" s="13">
        <f>L19*(1+Input_CMS_5!O45/100)</f>
        <v>33443.271678973055</v>
      </c>
      <c r="N19" s="13">
        <f>M19*(1+Input_CMS_5!P45/100)</f>
        <v>35215.765077958626</v>
      </c>
      <c r="O19" s="13">
        <f>N19*(1+Input_CMS_5!Q45/100)</f>
        <v>37082.200627090431</v>
      </c>
      <c r="P19" s="13">
        <f>O19*(1+Input_CMS_5!R45/100)</f>
        <v>39010.475059699136</v>
      </c>
      <c r="Q19" s="13" cm="1">
        <f t="array" ref="Q19">P19*(1+AVERAGE(Input_CMS_5!$P$45:$R$45/100))</f>
        <v>41065.02674617662</v>
      </c>
      <c r="R19" s="13" cm="1">
        <f t="array" ref="R19">Q19*(1+AVERAGE(Input_CMS_5!$P$45:$R$45/100))</f>
        <v>43227.784821475252</v>
      </c>
      <c r="S19" s="13" cm="1">
        <f t="array" ref="S19">R19*(1+AVERAGE(Input_CMS_5!$P$45:$R$45/100))</f>
        <v>45504.44815540628</v>
      </c>
    </row>
    <row r="20" spans="1:21">
      <c r="A20" s="1" t="s">
        <v>14</v>
      </c>
      <c r="B20" s="15">
        <f>SUM(B5:B15)+B18+B19</f>
        <v>349202.12</v>
      </c>
      <c r="C20" s="15">
        <f t="shared" ref="C20:S20" si="1">SUM(C5:C15)+C18+C19</f>
        <v>368892.92765337002</v>
      </c>
      <c r="D20" s="15">
        <f t="shared" si="1"/>
        <v>386203.04477948003</v>
      </c>
      <c r="E20" s="15">
        <f t="shared" si="1"/>
        <v>402959.19846939336</v>
      </c>
      <c r="F20" s="15">
        <f t="shared" si="1"/>
        <v>422002.9041876985</v>
      </c>
      <c r="G20" s="15">
        <f t="shared" si="1"/>
        <v>441193.6928242463</v>
      </c>
      <c r="H20" s="15">
        <f t="shared" si="1"/>
        <v>464150.04985147266</v>
      </c>
      <c r="I20" s="15">
        <f t="shared" si="1"/>
        <v>487717.50221218518</v>
      </c>
      <c r="J20" s="192">
        <f t="shared" si="1"/>
        <v>515322.89973172796</v>
      </c>
      <c r="K20" s="15">
        <f t="shared" si="1"/>
        <v>544129.31358469208</v>
      </c>
      <c r="L20" s="15">
        <f t="shared" si="1"/>
        <v>574125.86369365826</v>
      </c>
      <c r="M20" s="15">
        <f t="shared" si="1"/>
        <v>606743.03074188286</v>
      </c>
      <c r="N20" s="15">
        <f t="shared" si="1"/>
        <v>641574.47445486882</v>
      </c>
      <c r="O20" s="15">
        <f t="shared" si="1"/>
        <v>677877.65973570361</v>
      </c>
      <c r="P20" s="15">
        <f t="shared" si="1"/>
        <v>716025.54867843422</v>
      </c>
      <c r="Q20" s="15">
        <f t="shared" si="1"/>
        <v>756711.92791879072</v>
      </c>
      <c r="R20" s="15">
        <f t="shared" si="1"/>
        <v>799735.05473154632</v>
      </c>
      <c r="S20" s="15">
        <f t="shared" si="1"/>
        <v>845230.42836838786</v>
      </c>
    </row>
    <row r="21" spans="1:21" s="2" customFormat="1">
      <c r="A21" s="2" t="s">
        <v>91</v>
      </c>
      <c r="J21" s="11"/>
    </row>
    <row r="22" spans="1:21">
      <c r="A22" t="s">
        <v>4</v>
      </c>
      <c r="B22" s="13">
        <f t="shared" ref="B22:S22" si="2">B$37*B5/B$20</f>
        <v>103505.98989993669</v>
      </c>
      <c r="C22" s="13">
        <f t="shared" si="2"/>
        <v>110697.93020437995</v>
      </c>
      <c r="D22" s="13">
        <f t="shared" si="2"/>
        <v>116514.71190517585</v>
      </c>
      <c r="E22" s="13">
        <f t="shared" si="2"/>
        <v>121826.55519847445</v>
      </c>
      <c r="F22" s="13">
        <f t="shared" si="2"/>
        <v>126407.9204573132</v>
      </c>
      <c r="G22" s="13">
        <f t="shared" si="2"/>
        <v>134945.25511964835</v>
      </c>
      <c r="H22" s="13">
        <f t="shared" si="2"/>
        <v>142374.79884739529</v>
      </c>
      <c r="I22" s="13">
        <f t="shared" si="2"/>
        <v>150531.68085615337</v>
      </c>
      <c r="J22" s="14">
        <f t="shared" si="2"/>
        <v>159625.36908519344</v>
      </c>
      <c r="K22" s="13">
        <f t="shared" si="2"/>
        <v>169100.1431667142</v>
      </c>
      <c r="L22" s="13">
        <f t="shared" si="2"/>
        <v>178939.90936046341</v>
      </c>
      <c r="M22" s="13">
        <f t="shared" si="2"/>
        <v>189760.97312036945</v>
      </c>
      <c r="N22" s="13">
        <f t="shared" si="2"/>
        <v>201849.14932877882</v>
      </c>
      <c r="O22" s="13">
        <f t="shared" si="2"/>
        <v>213826.17371437998</v>
      </c>
      <c r="P22" s="13">
        <f t="shared" si="2"/>
        <v>226510.70725230203</v>
      </c>
      <c r="Q22" s="13">
        <f t="shared" si="2"/>
        <v>240226.25472700177</v>
      </c>
      <c r="R22" s="13">
        <f t="shared" si="2"/>
        <v>254772.24100852068</v>
      </c>
      <c r="S22" s="13">
        <f t="shared" si="2"/>
        <v>270198.93990744982</v>
      </c>
    </row>
    <row r="23" spans="1:21">
      <c r="A23" t="s">
        <v>5</v>
      </c>
      <c r="B23" s="13">
        <f t="shared" ref="B23:S23" si="3">B$37*B6/B$20</f>
        <v>74541.186749991495</v>
      </c>
      <c r="C23" s="13">
        <f t="shared" si="3"/>
        <v>80781.47618220291</v>
      </c>
      <c r="D23" s="13">
        <f t="shared" si="3"/>
        <v>86244.396034388628</v>
      </c>
      <c r="E23" s="13">
        <f t="shared" si="3"/>
        <v>90955.853445342291</v>
      </c>
      <c r="F23" s="13">
        <f t="shared" si="3"/>
        <v>94195.161746366415</v>
      </c>
      <c r="G23" s="13">
        <f t="shared" si="3"/>
        <v>99041.930270051249</v>
      </c>
      <c r="H23" s="13">
        <f t="shared" si="3"/>
        <v>104295.93284131946</v>
      </c>
      <c r="I23" s="13">
        <f t="shared" si="3"/>
        <v>109958.24103940476</v>
      </c>
      <c r="J23" s="14">
        <f t="shared" si="3"/>
        <v>116050.8649671637</v>
      </c>
      <c r="K23" s="13">
        <f t="shared" si="3"/>
        <v>122474.8573007146</v>
      </c>
      <c r="L23" s="13">
        <f t="shared" si="3"/>
        <v>129234.05509279952</v>
      </c>
      <c r="M23" s="13">
        <f t="shared" si="3"/>
        <v>136790.66473443585</v>
      </c>
      <c r="N23" s="13">
        <f t="shared" si="3"/>
        <v>144409.47189377464</v>
      </c>
      <c r="O23" s="13">
        <f t="shared" si="3"/>
        <v>152544.86011450438</v>
      </c>
      <c r="P23" s="13">
        <f t="shared" si="3"/>
        <v>161136.30794560839</v>
      </c>
      <c r="Q23" s="13">
        <f t="shared" si="3"/>
        <v>170141.21787946645</v>
      </c>
      <c r="R23" s="13">
        <f t="shared" si="3"/>
        <v>179649.31609143686</v>
      </c>
      <c r="S23" s="13">
        <f t="shared" si="3"/>
        <v>189688.71567750094</v>
      </c>
      <c r="U23" s="88"/>
    </row>
    <row r="24" spans="1:21">
      <c r="A24" t="s">
        <v>6</v>
      </c>
      <c r="B24" s="13">
        <f t="shared" ref="B24:S24" si="4">B$37*B7/B$20</f>
        <v>8141.5212317172027</v>
      </c>
      <c r="C24" s="13">
        <f t="shared" si="4"/>
        <v>8781.7126310781532</v>
      </c>
      <c r="D24" s="13">
        <f t="shared" si="4"/>
        <v>9304.9579650424312</v>
      </c>
      <c r="E24" s="13">
        <f t="shared" si="4"/>
        <v>9813.2798407679093</v>
      </c>
      <c r="F24" s="13">
        <f t="shared" si="4"/>
        <v>10504.787015675962</v>
      </c>
      <c r="G24" s="13">
        <f t="shared" si="4"/>
        <v>11245.937730649217</v>
      </c>
      <c r="H24" s="13">
        <f t="shared" si="4"/>
        <v>11865.093891829518</v>
      </c>
      <c r="I24" s="13">
        <f t="shared" si="4"/>
        <v>12521.127535644662</v>
      </c>
      <c r="J24" s="14">
        <f t="shared" si="4"/>
        <v>13214.904741473663</v>
      </c>
      <c r="K24" s="13">
        <f t="shared" si="4"/>
        <v>13946.4154180365</v>
      </c>
      <c r="L24" s="13">
        <f t="shared" si="4"/>
        <v>14716.09649690183</v>
      </c>
      <c r="M24" s="13">
        <f t="shared" si="4"/>
        <v>15517.689525153992</v>
      </c>
      <c r="N24" s="13">
        <f t="shared" si="4"/>
        <v>16366.447787771269</v>
      </c>
      <c r="O24" s="13">
        <f t="shared" si="4"/>
        <v>17272.089112584275</v>
      </c>
      <c r="P24" s="13">
        <f t="shared" si="4"/>
        <v>18210.312234652982</v>
      </c>
      <c r="Q24" s="13">
        <f t="shared" si="4"/>
        <v>19203.688353271264</v>
      </c>
      <c r="R24" s="13">
        <f t="shared" si="4"/>
        <v>20251.248786461161</v>
      </c>
      <c r="S24" s="13">
        <f t="shared" si="4"/>
        <v>21355.948524973879</v>
      </c>
    </row>
    <row r="25" spans="1:21">
      <c r="A25" t="s">
        <v>7</v>
      </c>
      <c r="B25" s="13">
        <f t="shared" ref="B25:S25" si="5">B$37*B8/B$20</f>
        <v>14149.489561856173</v>
      </c>
      <c r="C25" s="13">
        <f t="shared" si="5"/>
        <v>15046.335288793854</v>
      </c>
      <c r="D25" s="13">
        <f t="shared" si="5"/>
        <v>15912.596795440546</v>
      </c>
      <c r="E25" s="13">
        <f t="shared" si="5"/>
        <v>16606.078056658956</v>
      </c>
      <c r="F25" s="13">
        <f t="shared" si="5"/>
        <v>17329.77648404982</v>
      </c>
      <c r="G25" s="13">
        <f t="shared" si="5"/>
        <v>18151.791543868712</v>
      </c>
      <c r="H25" s="13">
        <f t="shared" si="5"/>
        <v>19041.825224134827</v>
      </c>
      <c r="I25" s="13">
        <f t="shared" si="5"/>
        <v>19885.150101044972</v>
      </c>
      <c r="J25" s="14">
        <f t="shared" si="5"/>
        <v>20748.242731869101</v>
      </c>
      <c r="K25" s="13">
        <f t="shared" si="5"/>
        <v>21668.453656984439</v>
      </c>
      <c r="L25" s="13">
        <f t="shared" si="5"/>
        <v>22625.906506454136</v>
      </c>
      <c r="M25" s="13">
        <f t="shared" si="5"/>
        <v>23631.990719503716</v>
      </c>
      <c r="N25" s="13">
        <f t="shared" si="5"/>
        <v>24688.094222345684</v>
      </c>
      <c r="O25" s="13">
        <f t="shared" si="5"/>
        <v>25757.864583768816</v>
      </c>
      <c r="P25" s="13">
        <f t="shared" si="5"/>
        <v>26873.614038626438</v>
      </c>
      <c r="Q25" s="13">
        <f t="shared" si="5"/>
        <v>28043.904418972677</v>
      </c>
      <c r="R25" s="13">
        <f t="shared" si="5"/>
        <v>29265.15195518715</v>
      </c>
      <c r="S25" s="13">
        <f t="shared" si="5"/>
        <v>30539.574756058875</v>
      </c>
    </row>
    <row r="26" spans="1:21">
      <c r="A26" t="s">
        <v>8</v>
      </c>
      <c r="B26" s="13">
        <f t="shared" ref="B26:S26" si="6">B$37*B9/B$20</f>
        <v>18627.520640476178</v>
      </c>
      <c r="C26" s="13">
        <f t="shared" si="6"/>
        <v>20527.809707911503</v>
      </c>
      <c r="D26" s="13">
        <f t="shared" si="6"/>
        <v>21854.111604611997</v>
      </c>
      <c r="E26" s="13">
        <f t="shared" si="6"/>
        <v>23267.487584096907</v>
      </c>
      <c r="F26" s="13">
        <f t="shared" si="6"/>
        <v>23864.443928629018</v>
      </c>
      <c r="G26" s="13">
        <f t="shared" si="6"/>
        <v>24276.755639102495</v>
      </c>
      <c r="H26" s="13">
        <f t="shared" si="6"/>
        <v>25613.33629492933</v>
      </c>
      <c r="I26" s="13">
        <f t="shared" si="6"/>
        <v>27080.765669367403</v>
      </c>
      <c r="J26" s="14">
        <f t="shared" si="6"/>
        <v>28689.635954420595</v>
      </c>
      <c r="K26" s="13">
        <f t="shared" si="6"/>
        <v>30335.148515759727</v>
      </c>
      <c r="L26" s="13">
        <f t="shared" si="6"/>
        <v>31948.617271280385</v>
      </c>
      <c r="M26" s="13">
        <f t="shared" si="6"/>
        <v>33784.762834506182</v>
      </c>
      <c r="N26" s="13">
        <f t="shared" si="6"/>
        <v>35734.081370261993</v>
      </c>
      <c r="O26" s="13">
        <f t="shared" si="6"/>
        <v>37782.926230403427</v>
      </c>
      <c r="P26" s="13">
        <f t="shared" si="6"/>
        <v>39910.890682114885</v>
      </c>
      <c r="Q26" s="13">
        <f t="shared" si="6"/>
        <v>42181.182194971159</v>
      </c>
      <c r="R26" s="13">
        <f t="shared" si="6"/>
        <v>44580.606980834782</v>
      </c>
      <c r="S26" s="13">
        <f t="shared" si="6"/>
        <v>47116.508905555907</v>
      </c>
    </row>
    <row r="27" spans="1:21">
      <c r="A27" t="s">
        <v>9</v>
      </c>
      <c r="B27" s="13">
        <f t="shared" ref="B27:S27" si="7">B$37*B10/B$20</f>
        <v>10937.982141895138</v>
      </c>
      <c r="C27" s="13">
        <f t="shared" si="7"/>
        <v>11831.426649266283</v>
      </c>
      <c r="D27" s="13">
        <f t="shared" si="7"/>
        <v>12512.596467581212</v>
      </c>
      <c r="E27" s="13">
        <f t="shared" si="7"/>
        <v>13271.555449582862</v>
      </c>
      <c r="F27" s="13">
        <f t="shared" si="7"/>
        <v>13942.443371113375</v>
      </c>
      <c r="G27" s="13">
        <f t="shared" si="7"/>
        <v>15094.314956642587</v>
      </c>
      <c r="H27" s="13">
        <f t="shared" si="7"/>
        <v>16167.788373317973</v>
      </c>
      <c r="I27" s="13">
        <f t="shared" si="7"/>
        <v>17320.478547161558</v>
      </c>
      <c r="J27" s="14">
        <f t="shared" si="7"/>
        <v>18574.742866293738</v>
      </c>
      <c r="K27" s="13">
        <f t="shared" si="7"/>
        <v>19918.824104792944</v>
      </c>
      <c r="L27" s="13">
        <f t="shared" si="7"/>
        <v>21316.948906552647</v>
      </c>
      <c r="M27" s="13">
        <f t="shared" si="7"/>
        <v>22840.643515518419</v>
      </c>
      <c r="N27" s="13">
        <f t="shared" si="7"/>
        <v>24455.631030424964</v>
      </c>
      <c r="O27" s="13">
        <f t="shared" si="7"/>
        <v>26224.767091935781</v>
      </c>
      <c r="P27" s="13">
        <f t="shared" si="7"/>
        <v>28121.490569323119</v>
      </c>
      <c r="Q27" s="13">
        <f t="shared" si="7"/>
        <v>30133.687089869396</v>
      </c>
      <c r="R27" s="13">
        <f t="shared" si="7"/>
        <v>32289.856451626969</v>
      </c>
      <c r="S27" s="13">
        <f t="shared" si="7"/>
        <v>34600.298954835205</v>
      </c>
    </row>
    <row r="28" spans="1:21">
      <c r="A28" t="s">
        <v>10</v>
      </c>
      <c r="B28" s="13">
        <f t="shared" ref="B28:S28" si="8">B$37*B11/B$20</f>
        <v>14384.71498426252</v>
      </c>
      <c r="C28" s="13">
        <f t="shared" si="8"/>
        <v>15003.994618981847</v>
      </c>
      <c r="D28" s="13">
        <f t="shared" si="8"/>
        <v>15581.232374837269</v>
      </c>
      <c r="E28" s="13">
        <f t="shared" si="8"/>
        <v>15837.724572656281</v>
      </c>
      <c r="F28" s="13">
        <f t="shared" si="8"/>
        <v>16133.664570884643</v>
      </c>
      <c r="G28" s="13">
        <f t="shared" si="8"/>
        <v>16752.983476013607</v>
      </c>
      <c r="H28" s="13">
        <f t="shared" si="8"/>
        <v>17591.247276317041</v>
      </c>
      <c r="I28" s="13">
        <f t="shared" si="8"/>
        <v>18423.11721884265</v>
      </c>
      <c r="J28" s="14">
        <f t="shared" si="8"/>
        <v>19314.903208446871</v>
      </c>
      <c r="K28" s="13">
        <f t="shared" si="8"/>
        <v>20248.829312751863</v>
      </c>
      <c r="L28" s="13">
        <f t="shared" si="8"/>
        <v>21163.806395663054</v>
      </c>
      <c r="M28" s="13">
        <f t="shared" si="8"/>
        <v>22126.050076564541</v>
      </c>
      <c r="N28" s="13">
        <f t="shared" si="8"/>
        <v>23181.275733174672</v>
      </c>
      <c r="O28" s="13">
        <f t="shared" si="8"/>
        <v>24324.88535007407</v>
      </c>
      <c r="P28" s="13">
        <f t="shared" si="8"/>
        <v>25597.553137678322</v>
      </c>
      <c r="Q28" s="13">
        <f t="shared" si="8"/>
        <v>26865.890611128772</v>
      </c>
      <c r="R28" s="13">
        <f t="shared" si="8"/>
        <v>28197.066818839965</v>
      </c>
      <c r="S28" s="13">
        <f t="shared" si="8"/>
        <v>29594.194354944852</v>
      </c>
    </row>
    <row r="29" spans="1:21">
      <c r="A29" s="6" t="s">
        <v>17</v>
      </c>
      <c r="B29" s="13">
        <f t="shared" ref="B29:S29" si="9">B$37*B12/B$20</f>
        <v>29423.171440264232</v>
      </c>
      <c r="C29" s="13">
        <f t="shared" si="9"/>
        <v>32544.428937293716</v>
      </c>
      <c r="D29" s="13">
        <f t="shared" si="9"/>
        <v>33273.017740329306</v>
      </c>
      <c r="E29" s="13">
        <f t="shared" si="9"/>
        <v>34154.942327211153</v>
      </c>
      <c r="F29" s="13">
        <f t="shared" si="9"/>
        <v>35303.317092179459</v>
      </c>
      <c r="G29" s="13">
        <f t="shared" si="9"/>
        <v>37510.194492940675</v>
      </c>
      <c r="H29" s="13">
        <f t="shared" si="9"/>
        <v>39048.185803005748</v>
      </c>
      <c r="I29" s="13">
        <f t="shared" si="9"/>
        <v>40933.788759988282</v>
      </c>
      <c r="J29" s="14">
        <f t="shared" si="9"/>
        <v>43283.768889341547</v>
      </c>
      <c r="K29" s="13">
        <f t="shared" si="9"/>
        <v>45809.635683843742</v>
      </c>
      <c r="L29" s="13">
        <f t="shared" si="9"/>
        <v>48521.06984137556</v>
      </c>
      <c r="M29" s="13">
        <f t="shared" si="9"/>
        <v>51358.207342961832</v>
      </c>
      <c r="N29" s="13">
        <f t="shared" si="9"/>
        <v>54475.65762096009</v>
      </c>
      <c r="O29" s="13">
        <f t="shared" si="9"/>
        <v>57762.546077953564</v>
      </c>
      <c r="P29" s="13">
        <f t="shared" si="9"/>
        <v>61189.118888166522</v>
      </c>
      <c r="Q29" s="13">
        <f t="shared" si="9"/>
        <v>64853.406465689412</v>
      </c>
      <c r="R29" s="13">
        <f t="shared" si="9"/>
        <v>68737.11310099042</v>
      </c>
      <c r="S29" s="13">
        <f t="shared" si="9"/>
        <v>72853.375825008727</v>
      </c>
    </row>
    <row r="30" spans="1:21">
      <c r="A30" s="6" t="s">
        <v>16</v>
      </c>
      <c r="B30" s="13">
        <f t="shared" ref="B30:S30" si="10">B$37*B13/B$20</f>
        <v>6467.1735883802257</v>
      </c>
      <c r="C30" s="13">
        <f t="shared" si="10"/>
        <v>6949.4075726353512</v>
      </c>
      <c r="D30" s="13">
        <f t="shared" si="10"/>
        <v>7286.6292856348418</v>
      </c>
      <c r="E30" s="13">
        <f t="shared" si="10"/>
        <v>7582.2290414688068</v>
      </c>
      <c r="F30" s="13">
        <f t="shared" si="10"/>
        <v>7837.1625854934309</v>
      </c>
      <c r="G30" s="13">
        <f t="shared" si="10"/>
        <v>8319.2004725830247</v>
      </c>
      <c r="H30" s="13">
        <f t="shared" si="10"/>
        <v>8785.5735414721148</v>
      </c>
      <c r="I30" s="13">
        <f t="shared" si="10"/>
        <v>9218.6092499262904</v>
      </c>
      <c r="J30" s="14">
        <f t="shared" si="10"/>
        <v>9637.1769998811087</v>
      </c>
      <c r="K30" s="13">
        <f t="shared" si="10"/>
        <v>10083.87888270471</v>
      </c>
      <c r="L30" s="13">
        <f t="shared" si="10"/>
        <v>10559.707107985336</v>
      </c>
      <c r="M30" s="13">
        <f t="shared" si="10"/>
        <v>11060.948612131126</v>
      </c>
      <c r="N30" s="13">
        <f t="shared" si="10"/>
        <v>11588.462412451476</v>
      </c>
      <c r="O30" s="13">
        <f t="shared" si="10"/>
        <v>12148.56775369268</v>
      </c>
      <c r="P30" s="13">
        <f t="shared" si="10"/>
        <v>12735.566684289943</v>
      </c>
      <c r="Q30" s="13">
        <f t="shared" si="10"/>
        <v>13345.373113401587</v>
      </c>
      <c r="R30" s="13">
        <f t="shared" si="10"/>
        <v>13984.375250099914</v>
      </c>
      <c r="S30" s="13">
        <f t="shared" si="10"/>
        <v>14653.970556324568</v>
      </c>
    </row>
    <row r="31" spans="1:21">
      <c r="A31" s="6" t="s">
        <v>11</v>
      </c>
      <c r="B31" s="13">
        <f t="shared" ref="B31:S31" si="11">B$37*B14/B$20</f>
        <v>3635.3019826435452</v>
      </c>
      <c r="C31" s="13">
        <f t="shared" si="11"/>
        <v>3873.1119805255089</v>
      </c>
      <c r="D31" s="13">
        <f t="shared" si="11"/>
        <v>4064.9493223330596</v>
      </c>
      <c r="E31" s="13">
        <f t="shared" si="11"/>
        <v>4201.2737382252153</v>
      </c>
      <c r="F31" s="13">
        <f t="shared" si="11"/>
        <v>4380.1830948086763</v>
      </c>
      <c r="G31" s="13">
        <f t="shared" si="11"/>
        <v>4623.17548913879</v>
      </c>
      <c r="H31" s="13">
        <f t="shared" si="11"/>
        <v>4933.40116727849</v>
      </c>
      <c r="I31" s="13">
        <f t="shared" si="11"/>
        <v>5255.5217801895478</v>
      </c>
      <c r="J31" s="14">
        <f t="shared" si="11"/>
        <v>5567.7527166346454</v>
      </c>
      <c r="K31" s="13">
        <f t="shared" si="11"/>
        <v>5898.23401440212</v>
      </c>
      <c r="L31" s="13">
        <f t="shared" si="11"/>
        <v>6247.34557001762</v>
      </c>
      <c r="M31" s="13">
        <f t="shared" si="11"/>
        <v>6618.8922334431563</v>
      </c>
      <c r="N31" s="13">
        <f t="shared" si="11"/>
        <v>7014.036641982756</v>
      </c>
      <c r="O31" s="13">
        <f t="shared" si="11"/>
        <v>7444.2576392729952</v>
      </c>
      <c r="P31" s="13">
        <f t="shared" si="11"/>
        <v>7863.524149472707</v>
      </c>
      <c r="Q31" s="13">
        <f t="shared" si="11"/>
        <v>8326.5632206017526</v>
      </c>
      <c r="R31" s="13">
        <f t="shared" si="11"/>
        <v>8816.8660993801132</v>
      </c>
      <c r="S31" s="13">
        <f t="shared" si="11"/>
        <v>9336.0378445872284</v>
      </c>
      <c r="T31" s="55"/>
    </row>
    <row r="32" spans="1:21">
      <c r="A32" s="6" t="s">
        <v>166</v>
      </c>
      <c r="B32" s="13">
        <f t="shared" ref="B32:S32" si="12">B$37*B15/B$20</f>
        <v>26820.091620890824</v>
      </c>
      <c r="C32" s="13">
        <f t="shared" si="12"/>
        <v>28532.856428480813</v>
      </c>
      <c r="D32" s="13">
        <f t="shared" si="12"/>
        <v>30302.029064424918</v>
      </c>
      <c r="E32" s="13">
        <f t="shared" si="12"/>
        <v>31404.161146741288</v>
      </c>
      <c r="F32" s="13">
        <f t="shared" si="12"/>
        <v>35048.764353739913</v>
      </c>
      <c r="G32" s="13">
        <f t="shared" si="12"/>
        <v>34365.737760548938</v>
      </c>
      <c r="H32" s="13">
        <f t="shared" si="12"/>
        <v>37636.892296298036</v>
      </c>
      <c r="I32" s="13">
        <f t="shared" si="12"/>
        <v>38270.558475027101</v>
      </c>
      <c r="J32" s="14">
        <f t="shared" si="12"/>
        <v>40491.407184044234</v>
      </c>
      <c r="K32" s="13">
        <f t="shared" si="12"/>
        <v>42831.099166405227</v>
      </c>
      <c r="L32" s="13">
        <f t="shared" si="12"/>
        <v>45221.211699974061</v>
      </c>
      <c r="M32" s="13">
        <f t="shared" si="12"/>
        <v>47776.124905161938</v>
      </c>
      <c r="N32" s="13">
        <f t="shared" si="12"/>
        <v>50517.397285653293</v>
      </c>
      <c r="O32" s="13">
        <f t="shared" si="12"/>
        <v>53438.999426354909</v>
      </c>
      <c r="P32" s="13">
        <f t="shared" si="12"/>
        <v>56442.84598766367</v>
      </c>
      <c r="Q32" s="13">
        <f t="shared" si="12"/>
        <v>59657.080290029167</v>
      </c>
      <c r="R32" s="13">
        <f t="shared" si="12"/>
        <v>63055.54965748133</v>
      </c>
      <c r="S32" s="13">
        <f t="shared" si="12"/>
        <v>66648.888814944497</v>
      </c>
    </row>
    <row r="33" spans="1:19">
      <c r="A33" t="s">
        <v>167</v>
      </c>
      <c r="B33" s="13">
        <f t="shared" ref="B33:S33" si="13">B$37*B16/B$20</f>
        <v>5896.0126931440827</v>
      </c>
      <c r="C33" s="13">
        <f t="shared" si="13"/>
        <v>6064.8503497149968</v>
      </c>
      <c r="D33" s="13">
        <f t="shared" si="13"/>
        <v>6410.3747224167573</v>
      </c>
      <c r="E33" s="13">
        <f t="shared" si="13"/>
        <v>6438.6361879634051</v>
      </c>
      <c r="F33" s="13">
        <f t="shared" si="13"/>
        <v>6739.1809390094404</v>
      </c>
      <c r="G33" s="13">
        <f t="shared" si="13"/>
        <v>7003.4760912831398</v>
      </c>
      <c r="H33" s="13">
        <f t="shared" si="13"/>
        <v>7339.8458291351262</v>
      </c>
      <c r="I33" s="13">
        <f t="shared" si="13"/>
        <v>7753.0155718682881</v>
      </c>
      <c r="J33" s="14">
        <f t="shared" si="13"/>
        <v>8252.4028873710267</v>
      </c>
      <c r="K33" s="13">
        <f t="shared" si="13"/>
        <v>8775.2558510924664</v>
      </c>
      <c r="L33" s="13">
        <f t="shared" si="13"/>
        <v>9285.8791081050349</v>
      </c>
      <c r="M33" s="13">
        <f t="shared" si="13"/>
        <v>9847.4256644585821</v>
      </c>
      <c r="N33" s="13">
        <f t="shared" si="13"/>
        <v>10514.143271915636</v>
      </c>
      <c r="O33" s="13">
        <f t="shared" si="13"/>
        <v>11222.155730138817</v>
      </c>
      <c r="P33" s="13">
        <f t="shared" si="13"/>
        <v>11932.775418984771</v>
      </c>
      <c r="Q33" s="13">
        <f t="shared" si="13"/>
        <v>12718.976606311115</v>
      </c>
      <c r="R33" s="13">
        <f t="shared" si="13"/>
        <v>13556.97429126735</v>
      </c>
      <c r="S33" s="13">
        <f t="shared" si="13"/>
        <v>14450.180541353195</v>
      </c>
    </row>
    <row r="34" spans="1:19">
      <c r="A34" t="s">
        <v>168</v>
      </c>
      <c r="B34" s="13">
        <f t="shared" ref="B34:S34" si="14">B$37*B17/B$20</f>
        <v>20924.078927746741</v>
      </c>
      <c r="C34" s="13">
        <f t="shared" si="14"/>
        <v>22468.006078765819</v>
      </c>
      <c r="D34" s="13">
        <f t="shared" si="14"/>
        <v>23891.654342008162</v>
      </c>
      <c r="E34" s="13">
        <f t="shared" si="14"/>
        <v>24965.524958777885</v>
      </c>
      <c r="F34" s="13">
        <f t="shared" si="14"/>
        <v>28309.583414730467</v>
      </c>
      <c r="G34" s="13">
        <f t="shared" si="14"/>
        <v>27362.261669265801</v>
      </c>
      <c r="H34" s="13">
        <f t="shared" si="14"/>
        <v>30297.046467162905</v>
      </c>
      <c r="I34" s="13">
        <f t="shared" si="14"/>
        <v>30517.54290315881</v>
      </c>
      <c r="J34" s="14">
        <f t="shared" si="14"/>
        <v>32239.004296673207</v>
      </c>
      <c r="K34" s="13">
        <f t="shared" si="14"/>
        <v>34055.843315312763</v>
      </c>
      <c r="L34" s="13">
        <f t="shared" si="14"/>
        <v>35935.332591869032</v>
      </c>
      <c r="M34" s="13">
        <f t="shared" si="14"/>
        <v>37928.699240703361</v>
      </c>
      <c r="N34" s="13">
        <f t="shared" si="14"/>
        <v>40003.254013737656</v>
      </c>
      <c r="O34" s="13">
        <f t="shared" si="14"/>
        <v>42216.843696216092</v>
      </c>
      <c r="P34" s="13">
        <f t="shared" si="14"/>
        <v>44510.070568678893</v>
      </c>
      <c r="Q34" s="13">
        <f t="shared" si="14"/>
        <v>46938.103683718044</v>
      </c>
      <c r="R34" s="13">
        <f t="shared" si="14"/>
        <v>49498.57536621399</v>
      </c>
      <c r="S34" s="13">
        <f t="shared" si="14"/>
        <v>52198.708273591306</v>
      </c>
    </row>
    <row r="35" spans="1:19">
      <c r="A35" t="s">
        <v>13</v>
      </c>
      <c r="B35" s="13">
        <f t="shared" ref="B35:S35" si="15">B$37*B18/B$20</f>
        <v>9959.3277439794092</v>
      </c>
      <c r="C35" s="13">
        <f t="shared" si="15"/>
        <v>10280.794480739421</v>
      </c>
      <c r="D35" s="13">
        <f t="shared" si="15"/>
        <v>10660.871382464475</v>
      </c>
      <c r="E35" s="13">
        <f t="shared" si="15"/>
        <v>11156.052208189609</v>
      </c>
      <c r="F35" s="13">
        <f t="shared" si="15"/>
        <v>11398.489932888977</v>
      </c>
      <c r="G35" s="13">
        <f t="shared" si="15"/>
        <v>11858.047384683028</v>
      </c>
      <c r="H35" s="13">
        <f t="shared" si="15"/>
        <v>12201.404796331421</v>
      </c>
      <c r="I35" s="13">
        <f t="shared" si="15"/>
        <v>12570.91415174213</v>
      </c>
      <c r="J35" s="14">
        <f t="shared" si="15"/>
        <v>13015.934321462773</v>
      </c>
      <c r="K35" s="13">
        <f t="shared" si="15"/>
        <v>13476.024721270978</v>
      </c>
      <c r="L35" s="13">
        <f t="shared" si="15"/>
        <v>13923.220163679234</v>
      </c>
      <c r="M35" s="13">
        <f t="shared" si="15"/>
        <v>14458.753862211928</v>
      </c>
      <c r="N35" s="13">
        <f t="shared" si="15"/>
        <v>15047.036138730071</v>
      </c>
      <c r="O35" s="13">
        <f t="shared" si="15"/>
        <v>15608.734786912868</v>
      </c>
      <c r="P35" s="13">
        <f t="shared" si="15"/>
        <v>16159.948137089295</v>
      </c>
      <c r="Q35" s="13">
        <f t="shared" si="15"/>
        <v>16766.700865673727</v>
      </c>
      <c r="R35" s="13">
        <f t="shared" si="15"/>
        <v>17396.231249972214</v>
      </c>
      <c r="S35" s="13">
        <f t="shared" si="15"/>
        <v>18049.393987394586</v>
      </c>
    </row>
    <row r="36" spans="1:19">
      <c r="A36" t="s">
        <v>71</v>
      </c>
      <c r="B36" s="13">
        <f>B$37*B19/B$20</f>
        <v>18833.041563259641</v>
      </c>
      <c r="C36" s="13">
        <f t="shared" ref="C36:S36" si="16">C$37*C19/C$20</f>
        <v>19673.865750773224</v>
      </c>
      <c r="D36" s="13">
        <f t="shared" si="16"/>
        <v>20139.881457823158</v>
      </c>
      <c r="E36" s="13">
        <f t="shared" si="16"/>
        <v>21985.054025911119</v>
      </c>
      <c r="F36" s="13">
        <f t="shared" si="16"/>
        <v>22941.722595084477</v>
      </c>
      <c r="G36" s="13">
        <f t="shared" si="16"/>
        <v>24455.707131805382</v>
      </c>
      <c r="H36" s="13">
        <f t="shared" si="16"/>
        <v>25802.140138046485</v>
      </c>
      <c r="I36" s="13">
        <f t="shared" si="16"/>
        <v>27151.340096140102</v>
      </c>
      <c r="J36" s="14">
        <f t="shared" si="16"/>
        <v>28791.565066927964</v>
      </c>
      <c r="K36" s="13">
        <f t="shared" si="16"/>
        <v>30298.917575967578</v>
      </c>
      <c r="L36" s="13">
        <f t="shared" si="16"/>
        <v>31880.154947029732</v>
      </c>
      <c r="M36" s="13">
        <f t="shared" si="16"/>
        <v>33584.788311616554</v>
      </c>
      <c r="N36" s="13">
        <f t="shared" si="16"/>
        <v>35388.140800757341</v>
      </c>
      <c r="O36" s="13">
        <f t="shared" si="16"/>
        <v>37275.55331184082</v>
      </c>
      <c r="P36" s="13">
        <f t="shared" si="16"/>
        <v>39225.794609276592</v>
      </c>
      <c r="Q36" s="13">
        <f t="shared" si="16"/>
        <v>41300.179658613044</v>
      </c>
      <c r="R36" s="13">
        <f t="shared" si="16"/>
        <v>43484.255035020928</v>
      </c>
      <c r="S36" s="13">
        <f t="shared" si="16"/>
        <v>45783.819883571348</v>
      </c>
    </row>
    <row r="37" spans="1:19">
      <c r="A37" s="1" t="s">
        <v>14</v>
      </c>
      <c r="B37" s="15">
        <f>B20*(1+B53)*(1+B45)</f>
        <v>339426.51314955327</v>
      </c>
      <c r="C37" s="15">
        <f t="shared" ref="C37:S37" si="17">C20*(1+C53)*(1+C45)</f>
        <v>364525.15043306252</v>
      </c>
      <c r="D37" s="15">
        <f t="shared" si="17"/>
        <v>383651.98140008765</v>
      </c>
      <c r="E37" s="15">
        <f t="shared" si="17"/>
        <v>402062.24663532682</v>
      </c>
      <c r="F37" s="15">
        <f t="shared" si="17"/>
        <v>419287.83722822741</v>
      </c>
      <c r="G37" s="15">
        <f t="shared" si="17"/>
        <v>440641.0314676761</v>
      </c>
      <c r="H37" s="15">
        <f t="shared" si="17"/>
        <v>465357.62049167574</v>
      </c>
      <c r="I37" s="15">
        <f t="shared" si="17"/>
        <v>489121.29348063283</v>
      </c>
      <c r="J37" s="192">
        <f>J20*(1+J53)*(1+J45)</f>
        <v>517006.26873315335</v>
      </c>
      <c r="K37" s="15">
        <f t="shared" si="17"/>
        <v>546090.46152034856</v>
      </c>
      <c r="L37" s="15">
        <f t="shared" si="17"/>
        <v>576298.04936017643</v>
      </c>
      <c r="M37" s="15">
        <f t="shared" si="17"/>
        <v>609310.48979357863</v>
      </c>
      <c r="N37" s="15">
        <f t="shared" si="17"/>
        <v>644714.88226706709</v>
      </c>
      <c r="O37" s="15">
        <f t="shared" si="17"/>
        <v>681412.22519367852</v>
      </c>
      <c r="P37" s="15">
        <f t="shared" si="17"/>
        <v>719977.67431626492</v>
      </c>
      <c r="Q37" s="15">
        <f t="shared" si="17"/>
        <v>761045.12888869026</v>
      </c>
      <c r="R37" s="15">
        <f t="shared" si="17"/>
        <v>804479.87848585239</v>
      </c>
      <c r="S37" s="15">
        <f t="shared" si="17"/>
        <v>850419.6679931503</v>
      </c>
    </row>
    <row r="38" spans="1:19" s="2" customFormat="1">
      <c r="A38" s="2" t="s">
        <v>146</v>
      </c>
      <c r="J38" s="11"/>
    </row>
    <row r="39" spans="1:19">
      <c r="A39" t="s">
        <v>88</v>
      </c>
      <c r="B39" s="13">
        <f>64795*(1+(Input_CMS_3!F67+Input_CMS_3!F68)/Input_CMS_3!F54)</f>
        <v>69055.033649698016</v>
      </c>
      <c r="C39" s="13">
        <f>B39*(1+Input_CMS_1!U22/100)</f>
        <v>72438.730298533221</v>
      </c>
      <c r="D39" s="13">
        <f>C39*(1+Input_CMS_1!V22/100)</f>
        <v>75553.595701370141</v>
      </c>
      <c r="E39" s="13">
        <f>D39*(1+Input_CMS_1!W22/100)</f>
        <v>78802.400316529049</v>
      </c>
      <c r="F39" s="13">
        <f>E39*(1+Input_CMS_1!X22/100)</f>
        <v>83766.951536470369</v>
      </c>
      <c r="G39" s="13">
        <f>F39*(1+Input_CMS_1!Y22/100)</f>
        <v>89379.337289413874</v>
      </c>
      <c r="H39" s="13">
        <f>G39*(1+Input_CMS_2!$F71/100)</f>
        <v>95814.649574251685</v>
      </c>
      <c r="I39" s="13">
        <f>H39*(1+Input_CMS_2!$F72/100)</f>
        <v>103000.74829232055</v>
      </c>
      <c r="J39" s="14">
        <f>I39*(1+Input_CMS_2!$F73/100)</f>
        <v>111240.80815570621</v>
      </c>
      <c r="K39" s="13">
        <f>J39*(1+Input_CMS_2!$F74/100)</f>
        <v>120028.83200000699</v>
      </c>
      <c r="L39" s="13">
        <f>K39*(1+Input_CMS_2!$F75/100)</f>
        <v>129511.10972800755</v>
      </c>
      <c r="M39" s="13">
        <f>L39*(1+Input_CMS_2!$F76/100)</f>
        <v>139483.46517706412</v>
      </c>
      <c r="N39" s="13">
        <f>M39*(1+Input_CMS_2!$F77/100)</f>
        <v>149944.72506534393</v>
      </c>
      <c r="O39" s="13">
        <f>N39*(1+Input_CMS_2!$F78/100)</f>
        <v>161490.46889537541</v>
      </c>
      <c r="P39" s="13">
        <f>O39*(1+Input_CMS_2!$F79/100)</f>
        <v>173763.74453142396</v>
      </c>
      <c r="Q39" s="13">
        <f>P39*(1+AVERAGE(Input_CMS_2!$F$77:$F$79)/100)</f>
        <v>186969.78911581219</v>
      </c>
      <c r="R39" s="13">
        <f>Q39*(1+AVERAGE(Input_CMS_2!$F$77:$F$79)/100)</f>
        <v>201179.49308861393</v>
      </c>
      <c r="S39" s="13">
        <f>R39*(1+AVERAGE(Input_CMS_2!$F$77:$F$79)/100)</f>
        <v>216469.13456334861</v>
      </c>
    </row>
    <row r="40" spans="1:19">
      <c r="A40" t="s">
        <v>214</v>
      </c>
      <c r="B40" s="13">
        <f>61761*(1+(Input_CMS_3!G68)/Input_CMS_3!G54)</f>
        <v>65658.203401208317</v>
      </c>
      <c r="C40" s="88">
        <f>B40*(1+Input_CMS_1!U23/100)</f>
        <v>71501.783503915853</v>
      </c>
      <c r="D40" s="88">
        <f>C40*(1+Input_CMS_1!V23/100)</f>
        <v>74433.356627576402</v>
      </c>
      <c r="E40" s="88">
        <f>D40*(1+Input_CMS_1!W23/100)</f>
        <v>76219.757186638235</v>
      </c>
      <c r="F40" s="88">
        <f>E40*(1+Input_CMS_1!X23/100)</f>
        <v>78582.569659424014</v>
      </c>
      <c r="G40" s="88">
        <f>F40*(1+Input_CMS_1!Y23/100)</f>
        <v>80861.4641795473</v>
      </c>
      <c r="H40" s="13">
        <f>G40*(1+Input_CMS_2!$G71/100)</f>
        <v>84500.230067626922</v>
      </c>
      <c r="I40" s="13">
        <f>H40*(1+Input_CMS_2!$G72/100)</f>
        <v>89147.742721346396</v>
      </c>
      <c r="J40" s="14">
        <f>I40*(1+Input_CMS_2!$G73/100)</f>
        <v>94407.459541905831</v>
      </c>
      <c r="K40" s="13">
        <f>J40*(1+Input_CMS_2!$G74/100)</f>
        <v>99788.684735794464</v>
      </c>
      <c r="L40" s="13">
        <f>K40*(1+Input_CMS_2!$G75/100)</f>
        <v>104877.90765731997</v>
      </c>
      <c r="M40" s="13">
        <f>L40*(1+Input_CMS_2!$G76/100)</f>
        <v>111170.58211675918</v>
      </c>
      <c r="N40" s="13">
        <f>M40*(1+Input_CMS_2!$G77/100)</f>
        <v>118730.18170069881</v>
      </c>
      <c r="O40" s="13">
        <f>N40*(1+Input_CMS_2!$G78/100)</f>
        <v>125497.80205763863</v>
      </c>
      <c r="P40" s="13">
        <f>O40*(1+Input_CMS_2!$G79/100)</f>
        <v>132651.17677492404</v>
      </c>
      <c r="Q40" s="13">
        <f>P40*(1+AVERAGE(Input_CMS_2!$G$77:$G$79)/100)</f>
        <v>140698.68149926944</v>
      </c>
      <c r="R40" s="13">
        <f>Q40*(1+AVERAGE(Input_CMS_2!$G$77:$G$79)/100)</f>
        <v>149234.40151022511</v>
      </c>
      <c r="S40" s="13">
        <f>R40*(1+AVERAGE(Input_CMS_2!$G$77:$G$79)/100)</f>
        <v>158287.95520184544</v>
      </c>
    </row>
    <row r="41" spans="1:19">
      <c r="A41" t="s">
        <v>215</v>
      </c>
      <c r="B41" s="13">
        <f>61761*(1+(Input_CMS_3!G68)/Input_CMS_3!G54)</f>
        <v>65658.203401208317</v>
      </c>
      <c r="C41" s="88">
        <f>B41*(1+'Input_Medi-Cal'!E21)</f>
        <v>77873.938474002513</v>
      </c>
      <c r="D41" s="88">
        <f>C41*(1+'Input_Medi-Cal'!F21)</f>
        <v>82684.632432842132</v>
      </c>
      <c r="E41" s="88">
        <f>D41*(1+'Input_Medi-Cal'!G21)</f>
        <v>86903.206330438494</v>
      </c>
      <c r="F41" s="88">
        <f>E41*(1+'Input_Medi-Cal'!H21)</f>
        <v>87678.695065121705</v>
      </c>
      <c r="G41" s="88">
        <f>F41*(1+'Input_Medi-Cal'!I21)</f>
        <v>93107.116207904255</v>
      </c>
      <c r="H41" s="88">
        <f>G41*(1+'Input_Medi-Cal'!J21)</f>
        <v>99165.621947616921</v>
      </c>
      <c r="I41" s="13">
        <f>H41*(1+Input_CMS_2!$G72/100)</f>
        <v>104619.73115473584</v>
      </c>
      <c r="J41" s="14">
        <f>I41*(1+Input_CMS_2!$G73/100)</f>
        <v>110792.29529286525</v>
      </c>
      <c r="K41" s="13">
        <f>J41*(1+Input_CMS_2!$G74/100)</f>
        <v>117107.45612455856</v>
      </c>
      <c r="L41" s="13">
        <f>K41*(1+Input_CMS_2!$G75/100)</f>
        <v>123079.93638691104</v>
      </c>
      <c r="M41" s="13">
        <f>L41*(1+Input_CMS_2!$G76/100)</f>
        <v>130464.73257012571</v>
      </c>
      <c r="N41" s="13">
        <f>M41*(1+Input_CMS_2!$G77/100)</f>
        <v>139336.33438489426</v>
      </c>
      <c r="O41" s="13">
        <f>N41*(1+Input_CMS_2!$G78/100)</f>
        <v>147278.50544483322</v>
      </c>
      <c r="P41" s="13">
        <f>O41*(1+Input_CMS_2!$G79/100)</f>
        <v>155673.38025518871</v>
      </c>
      <c r="Q41" s="13">
        <f>P41*(1+AVERAGE(Input_CMS_2!$G$77:$G$79)/100)</f>
        <v>165117.56532400349</v>
      </c>
      <c r="R41" s="13">
        <f>Q41*(1+AVERAGE(Input_CMS_2!$G$77:$G$79)/100)</f>
        <v>175134.69762032636</v>
      </c>
      <c r="S41" s="13">
        <f>R41*(1+AVERAGE(Input_CMS_2!$G$77:$G$79)/100)</f>
        <v>185759.53594262616</v>
      </c>
    </row>
    <row r="42" spans="1:19">
      <c r="A42" t="s">
        <v>89</v>
      </c>
      <c r="B42" s="13">
        <f>104018*(1+(Input_CMS_3!E68)/Input_CMS_3!E54)</f>
        <v>117736.46824833492</v>
      </c>
      <c r="C42" s="88">
        <f>B42*(1+Input_CMS_1!U21/100)</f>
        <v>124682.91987498668</v>
      </c>
      <c r="D42" s="88">
        <f>C42*(1+Input_CMS_1!V21/100)</f>
        <v>132039.21214761087</v>
      </c>
      <c r="E42" s="88">
        <f>D42*(1+Input_CMS_1!W21/100)</f>
        <v>138641.17275499142</v>
      </c>
      <c r="F42" s="88">
        <f>E42*(1+Input_CMS_1!X21/100)</f>
        <v>146405.07842927094</v>
      </c>
      <c r="G42" s="88">
        <f>F42*(1+Input_CMS_1!Y21/100)</f>
        <v>151822.06633115397</v>
      </c>
      <c r="H42" s="13">
        <f>G42*(1+Input_CMS_2!$E71/100)</f>
        <v>159716.81378037398</v>
      </c>
      <c r="I42" s="13">
        <f>H42*(1+Input_CMS_2!$E72/100)</f>
        <v>166105.48633158894</v>
      </c>
      <c r="J42" s="14">
        <f>I42*(1+Input_CMS_2!$E73/100)</f>
        <v>174244.6551618368</v>
      </c>
      <c r="K42" s="13">
        <f>J42*(1+Input_CMS_2!$E74/100)</f>
        <v>182956.88791992865</v>
      </c>
      <c r="L42" s="13">
        <f>K42*(1+Input_CMS_2!$E75/100)</f>
        <v>192104.7323159251</v>
      </c>
      <c r="M42" s="13">
        <f>L42*(1+Input_CMS_2!$E76/100)</f>
        <v>201709.96893172135</v>
      </c>
      <c r="N42" s="13">
        <f>M42*(1+Input_CMS_2!$E77/100)</f>
        <v>211795.46737830742</v>
      </c>
      <c r="O42" s="13">
        <f>N42*(1+Input_CMS_2!$E78/100)</f>
        <v>222385.24074722279</v>
      </c>
      <c r="P42" s="13">
        <f>O42*(1+Input_CMS_2!$E79/100)</f>
        <v>233282.11754383671</v>
      </c>
      <c r="Q42" s="13">
        <f>P42*(1+AVERAGE(Input_CMS_2!$E$77:$E$79)/100)</f>
        <v>244868.46271518062</v>
      </c>
      <c r="R42" s="13">
        <f>Q42*(1+AVERAGE(Input_CMS_2!$E$77:$E$79)/100)</f>
        <v>257030.26303003461</v>
      </c>
      <c r="S42" s="13">
        <f>R42*(1+AVERAGE(Input_CMS_2!$E$77:$E$79)/100)</f>
        <v>269796.099427193</v>
      </c>
    </row>
    <row r="43" spans="1:19">
      <c r="A43" t="s">
        <v>281</v>
      </c>
      <c r="B43" s="13"/>
      <c r="C43" s="88"/>
      <c r="D43" s="88"/>
      <c r="E43" s="88"/>
      <c r="F43" s="88"/>
      <c r="G43" s="88"/>
      <c r="H43" s="13">
        <v>6910.0569949999999</v>
      </c>
      <c r="I43" s="13">
        <f>H43+2600</f>
        <v>9510.056994999999</v>
      </c>
      <c r="J43" s="14">
        <f>I43*(1+Input_CMS_2!$E$73/100)</f>
        <v>9976.0497877549988</v>
      </c>
      <c r="K43" s="13">
        <f>J43*(1+Input_CMS_2!$E$74/100)</f>
        <v>10474.852277142749</v>
      </c>
      <c r="L43" s="13">
        <f>K43*(1+Input_CMS_2!$E$75/100)</f>
        <v>10998.594890999886</v>
      </c>
      <c r="M43" s="13">
        <f>L43*(1+Input_CMS_2!$E$76/100)</f>
        <v>11548.52463554988</v>
      </c>
      <c r="N43" s="13">
        <f>M43*(1+Input_CMS_2!$E$78/100)</f>
        <v>12125.950867327374</v>
      </c>
      <c r="O43" s="13">
        <f>N43*(1+Input_CMS_2!$E$79/100)</f>
        <v>12720.122459826414</v>
      </c>
      <c r="P43" s="13">
        <f>O43*(1+AVERAGE(Input_CMS_2!$E$77:$E$79)/100)</f>
        <v>13351.888541997794</v>
      </c>
      <c r="Q43" s="13">
        <f>P43*(1+AVERAGE(Input_CMS_2!$E$77:$E$79)/100)</f>
        <v>14015.032339583686</v>
      </c>
      <c r="R43" s="13">
        <f>Q43*(1+AVERAGE(Input_CMS_2!$E$77:$E$79)/100)</f>
        <v>14711.112279116343</v>
      </c>
      <c r="S43" s="13">
        <f>R43*(1+AVERAGE(Input_CMS_2!$E$77:$E$79)/100)</f>
        <v>15441.764188979123</v>
      </c>
    </row>
    <row r="44" spans="1:19">
      <c r="A44" t="s">
        <v>90</v>
      </c>
      <c r="B44" s="13">
        <f t="shared" ref="B44:S44" si="18">B20-B39-B40-B42</f>
        <v>96752.414700758731</v>
      </c>
      <c r="C44" s="13">
        <f t="shared" si="18"/>
        <v>100269.49397593427</v>
      </c>
      <c r="D44" s="13">
        <f t="shared" si="18"/>
        <v>104176.8803029226</v>
      </c>
      <c r="E44" s="13">
        <f t="shared" si="18"/>
        <v>109295.86821123466</v>
      </c>
      <c r="F44" s="13">
        <f t="shared" si="18"/>
        <v>113248.30456253316</v>
      </c>
      <c r="G44" s="13">
        <f t="shared" si="18"/>
        <v>119130.82502413122</v>
      </c>
      <c r="H44" s="13">
        <f t="shared" si="18"/>
        <v>124118.35642922009</v>
      </c>
      <c r="I44" s="13">
        <f t="shared" si="18"/>
        <v>129463.52486692934</v>
      </c>
      <c r="J44" s="14">
        <f t="shared" si="18"/>
        <v>135429.97687227911</v>
      </c>
      <c r="K44" s="13">
        <f t="shared" si="18"/>
        <v>141354.90892896196</v>
      </c>
      <c r="L44" s="13">
        <f t="shared" si="18"/>
        <v>147632.11399240562</v>
      </c>
      <c r="M44" s="13">
        <f t="shared" si="18"/>
        <v>154379.01451633818</v>
      </c>
      <c r="N44" s="13">
        <f t="shared" si="18"/>
        <v>161104.1003105187</v>
      </c>
      <c r="O44" s="13">
        <f t="shared" si="18"/>
        <v>168504.14803546679</v>
      </c>
      <c r="P44" s="13">
        <f t="shared" si="18"/>
        <v>176328.50982824946</v>
      </c>
      <c r="Q44" s="13">
        <f t="shared" si="18"/>
        <v>184174.9945885285</v>
      </c>
      <c r="R44" s="13">
        <f t="shared" si="18"/>
        <v>192290.89710267261</v>
      </c>
      <c r="S44" s="13">
        <f t="shared" si="18"/>
        <v>200677.23917600082</v>
      </c>
    </row>
    <row r="45" spans="1:19">
      <c r="A45" t="s">
        <v>216</v>
      </c>
      <c r="B45" s="55">
        <f>(B41-B40)/B20</f>
        <v>0</v>
      </c>
      <c r="C45" s="55">
        <f t="shared" ref="C45:S45" si="19">(C41-C40)/C20</f>
        <v>1.7273724954885151E-2</v>
      </c>
      <c r="D45" s="55">
        <f t="shared" si="19"/>
        <v>2.1365123648823554E-2</v>
      </c>
      <c r="E45" s="55">
        <f t="shared" si="19"/>
        <v>2.6512483607224857E-2</v>
      </c>
      <c r="F45" s="55">
        <f t="shared" si="19"/>
        <v>2.1554651201291058E-2</v>
      </c>
      <c r="G45" s="55">
        <f t="shared" si="19"/>
        <v>2.7755727762035633E-2</v>
      </c>
      <c r="H45" s="55">
        <f t="shared" si="19"/>
        <v>3.1596230323971533E-2</v>
      </c>
      <c r="I45" s="55">
        <f t="shared" si="19"/>
        <v>3.1723258573275966E-2</v>
      </c>
      <c r="J45" s="193">
        <f t="shared" si="19"/>
        <v>3.1795279735267357E-2</v>
      </c>
      <c r="K45" s="55">
        <f t="shared" si="19"/>
        <v>3.1828410924361061E-2</v>
      </c>
      <c r="L45" s="55">
        <f t="shared" si="19"/>
        <v>3.1703899581335175E-2</v>
      </c>
      <c r="M45" s="55">
        <f t="shared" si="19"/>
        <v>3.1799541940803165E-2</v>
      </c>
      <c r="N45" s="55">
        <f t="shared" si="19"/>
        <v>3.2118099308274424E-2</v>
      </c>
      <c r="O45" s="55">
        <f t="shared" si="19"/>
        <v>3.2130729010433276E-2</v>
      </c>
      <c r="P45" s="55">
        <f t="shared" si="19"/>
        <v>3.2152768183700518E-2</v>
      </c>
      <c r="Q45" s="55">
        <f t="shared" si="19"/>
        <v>3.2269722365674998E-2</v>
      </c>
      <c r="R45" s="55">
        <f t="shared" si="19"/>
        <v>3.2386095816189293E-2</v>
      </c>
      <c r="S45" s="55">
        <f t="shared" si="19"/>
        <v>3.2501883295672614E-2</v>
      </c>
    </row>
    <row r="46" spans="1:19">
      <c r="A46" t="s">
        <v>280</v>
      </c>
      <c r="B46" s="269"/>
      <c r="C46" s="269"/>
      <c r="D46" s="269"/>
      <c r="E46" s="269"/>
      <c r="F46" s="269"/>
      <c r="G46" s="269"/>
      <c r="H46" s="269"/>
      <c r="I46" s="269"/>
      <c r="J46" s="14">
        <f>J39+J41*'Input_Medi-Cal'!$L$5+J43</f>
        <v>192692.45917530498</v>
      </c>
      <c r="K46" s="13">
        <f>K39+K41*'Input_Medi-Cal'!$L$5+K43</f>
        <v>206053.39477920858</v>
      </c>
      <c r="L46" s="13">
        <f>L39+L41*'Input_Medi-Cal'!$L$5+L43</f>
        <v>219912.4503566713</v>
      </c>
      <c r="M46" s="13">
        <f>M39+M41*'Input_Medi-Cal'!$L$5+M43</f>
        <v>235198.90029453766</v>
      </c>
      <c r="N46" s="13">
        <f>N39+N41*'Input_Medi-Cal'!$L$5+N43</f>
        <v>251960.93632736578</v>
      </c>
      <c r="O46" s="13">
        <f>O39+O41*'Input_Medi-Cal'!$L$5+O43</f>
        <v>269224.59659239388</v>
      </c>
      <c r="P46" s="13">
        <f>P39+P41*'Input_Medi-Cal'!$L$5+P43</f>
        <v>287545.43660913379</v>
      </c>
      <c r="Q46" s="13">
        <f>Q39+Q41*'Input_Medi-Cal'!$L$5+Q43</f>
        <v>307507.36640560773</v>
      </c>
      <c r="R46" s="13">
        <f>R39+R41*'Input_Medi-Cal'!$L$5+R43</f>
        <v>328875.51804492163</v>
      </c>
      <c r="S46" s="13">
        <f>S39+S41*'Input_Medi-Cal'!$L$5+S43</f>
        <v>351750.22946526873</v>
      </c>
    </row>
    <row r="47" spans="1:19">
      <c r="A47" t="s">
        <v>283</v>
      </c>
      <c r="B47" s="269"/>
      <c r="C47" s="269"/>
      <c r="D47" s="269"/>
      <c r="E47" s="269"/>
      <c r="F47" s="269"/>
      <c r="G47" s="269"/>
      <c r="H47" s="269"/>
      <c r="I47" s="269"/>
      <c r="J47" s="193">
        <f>J46/(J37-J36)</f>
        <v>0.39468794718448669</v>
      </c>
      <c r="K47" s="269">
        <f t="shared" ref="K47:R47" si="20">K46/(K37-K36)</f>
        <v>0.3994896721327944</v>
      </c>
      <c r="L47" s="269">
        <f t="shared" si="20"/>
        <v>0.40394052549232451</v>
      </c>
      <c r="M47" s="269">
        <f t="shared" si="20"/>
        <v>0.40852596937937224</v>
      </c>
      <c r="N47" s="269">
        <f t="shared" si="20"/>
        <v>0.41350710412124092</v>
      </c>
      <c r="O47" s="269">
        <f t="shared" si="20"/>
        <v>0.41796191452018622</v>
      </c>
      <c r="P47" s="269">
        <f t="shared" si="20"/>
        <v>0.42239389295979635</v>
      </c>
      <c r="Q47" s="269">
        <f t="shared" si="20"/>
        <v>0.42724491048468394</v>
      </c>
      <c r="R47" s="269">
        <f t="shared" si="20"/>
        <v>0.43216479557871007</v>
      </c>
      <c r="S47" s="269">
        <f>S46/(S37-S36)</f>
        <v>0.43715455916073703</v>
      </c>
    </row>
    <row r="48" spans="1:19" s="2" customFormat="1">
      <c r="A48" s="2" t="s">
        <v>92</v>
      </c>
      <c r="J48" s="11"/>
    </row>
    <row r="49" spans="1:19">
      <c r="A49" t="s">
        <v>93</v>
      </c>
      <c r="B49" s="13">
        <v>5585</v>
      </c>
      <c r="C49" s="13">
        <v>6077</v>
      </c>
      <c r="D49" s="13">
        <v>5934</v>
      </c>
      <c r="E49" s="13">
        <v>6395</v>
      </c>
      <c r="F49" s="13">
        <v>6505</v>
      </c>
      <c r="G49" s="13">
        <v>7108</v>
      </c>
      <c r="H49" s="13">
        <f>G49*(1+Input_CMS_2!H52/100)</f>
        <v>7385.2119999999995</v>
      </c>
      <c r="I49" s="13">
        <f>H49*(1+Input_CMS_2!H53/100)</f>
        <v>7673.2352679999985</v>
      </c>
      <c r="J49" s="14">
        <f>I49*(1+Input_CMS_2!H54/100)</f>
        <v>7972.4914434519978</v>
      </c>
      <c r="K49" s="13">
        <f>J49*(1+Input_CMS_2!H55/100)</f>
        <v>8283.4186097466245</v>
      </c>
      <c r="L49" s="13">
        <f>K49*(1+Input_CMS_2!H56/100)</f>
        <v>8606.4719355267425</v>
      </c>
      <c r="M49" s="13">
        <f>L49*(1+Input_CMS_2!H57/100)</f>
        <v>8933.5178690767589</v>
      </c>
      <c r="N49" s="13">
        <f>M49*(1+Input_CMS_2!H58/100)</f>
        <v>9272.991548101676</v>
      </c>
      <c r="O49" s="13">
        <f>N49*(1+Input_CMS_2!H59/100)</f>
        <v>9625.3652269295399</v>
      </c>
      <c r="P49" s="13">
        <f>O49*(1+Input_CMS_2!H60/100)</f>
        <v>9991.1291055528618</v>
      </c>
      <c r="Q49" s="13">
        <f>P49*(1+AVERAGE(Input_CMS_2!$H$77:$H$79)/100)</f>
        <v>10527.3197008842</v>
      </c>
      <c r="R49" s="13">
        <f>Q49*(1+AVERAGE(Input_CMS_2!$H$77:$H$79)/100)</f>
        <v>11092.285858164985</v>
      </c>
      <c r="S49" s="13">
        <f>R49*(1+AVERAGE(Input_CMS_2!$H$77:$H$79)/100)</f>
        <v>11687.571865886506</v>
      </c>
    </row>
    <row r="50" spans="1:19">
      <c r="A50" t="s">
        <v>312</v>
      </c>
      <c r="B50" s="13">
        <f>C50/(1+Input_CMS_1!U26/100)</f>
        <v>3693.900196502133</v>
      </c>
      <c r="C50" s="13">
        <f>D50/(1+Input_CMS_1!V26/100)</f>
        <v>3970.942711239793</v>
      </c>
      <c r="D50" s="13">
        <f>E50/(1+Input_CMS_1!W26/100)</f>
        <v>4113.8966488444257</v>
      </c>
      <c r="E50" s="13">
        <f>F50/(1+Input_CMS_1!X26/100)</f>
        <v>4331.9331712331796</v>
      </c>
      <c r="F50" s="13">
        <f>53670*793318/9514738</f>
        <v>4474.8869658838739</v>
      </c>
      <c r="G50" s="13">
        <f>F50*(1+Input_CMS_2!H70/100)</f>
        <v>4743.3801838369063</v>
      </c>
      <c r="H50" s="13">
        <f>G50*(1+Input_CMS_2!H71/100)</f>
        <v>5037.4697552347952</v>
      </c>
      <c r="I50" s="13">
        <f>H50*(1+Input_CMS_2!H72/100)</f>
        <v>5314.5305917727082</v>
      </c>
      <c r="J50" s="14">
        <f>I50*(1+Input_CMS_2!H73/100)</f>
        <v>5601.5152437284351</v>
      </c>
      <c r="K50" s="13">
        <f>J50*(1+Input_CMS_2!H74/100)</f>
        <v>5898.3955516460419</v>
      </c>
      <c r="L50" s="13">
        <f>K50*(1+Input_CMS_2!H75/100)</f>
        <v>6199.2137247799892</v>
      </c>
      <c r="M50" s="13">
        <f>L50*(1+Input_CMS_2!H76/100)</f>
        <v>6515.3736247437682</v>
      </c>
      <c r="N50" s="13">
        <f>M50*(1+Input_CMS_2!H77/100)</f>
        <v>6854.1730532304446</v>
      </c>
      <c r="O50" s="13">
        <f>N50*(1+Input_CMS_2!H78/100)</f>
        <v>7224.2983981048892</v>
      </c>
      <c r="P50" s="13">
        <f>O50*(1+Input_CMS_2!H79/100)</f>
        <v>7621.634810000658</v>
      </c>
      <c r="Q50" s="13">
        <f>P50*(1+AVERAGE(Input_CMS_2!$H$77:$H$79)/100)</f>
        <v>8030.6625448040277</v>
      </c>
      <c r="R50" s="13">
        <f>Q50*(1+AVERAGE(Input_CMS_2!$H$77:$H$79)/100)</f>
        <v>8461.641434708512</v>
      </c>
      <c r="S50" s="13">
        <f>R50*(1+AVERAGE(Input_CMS_2!$H$77:$H$79)/100)</f>
        <v>8915.7495250378688</v>
      </c>
    </row>
    <row r="51" spans="1:19">
      <c r="A51" t="s">
        <v>94</v>
      </c>
      <c r="B51" s="13">
        <f>C51/(1+Input_CMS_1!T27/100)</f>
        <v>496.70665394463697</v>
      </c>
      <c r="C51" s="13">
        <f>D51/(1+Input_CMS_1!U27/100)</f>
        <v>509.62102694719755</v>
      </c>
      <c r="D51" s="13">
        <f>E51/(1+Input_CMS_1!V27/100)</f>
        <v>528.47700494424384</v>
      </c>
      <c r="E51" s="13">
        <f>F51/(1+Input_CMS_1!W27/100)</f>
        <v>554.37237818651181</v>
      </c>
      <c r="F51" s="13">
        <f>G51/(1+Input_CMS_1!X27/100)</f>
        <v>582.09099709583745</v>
      </c>
      <c r="G51" s="13">
        <f>4295*0.14</f>
        <v>601.30000000000007</v>
      </c>
      <c r="H51" s="13">
        <f>G51*(1+Input_CMS_2!$I71/100)</f>
        <v>622.94680000000005</v>
      </c>
      <c r="I51" s="13">
        <f>H51*(1+Input_CMS_2!$I72/100)</f>
        <v>647.86467200000004</v>
      </c>
      <c r="J51" s="14">
        <f>I51*(1+Input_CMS_2!$I73/100)</f>
        <v>674.42712355200001</v>
      </c>
      <c r="K51" s="13">
        <f>J51*(1+Input_CMS_2!$I74/100)</f>
        <v>702.07863561763202</v>
      </c>
      <c r="L51" s="13">
        <f>K51*(1+Input_CMS_2!$I75/100)</f>
        <v>731.56593831357259</v>
      </c>
      <c r="M51" s="13">
        <f>L51*(1+Input_CMS_2!$I76/100)</f>
        <v>762.29170772274267</v>
      </c>
      <c r="N51" s="13">
        <f>M51*(1+Input_CMS_2!$I77/100)</f>
        <v>795.07025115482054</v>
      </c>
      <c r="O51" s="13">
        <f>N51*(1+Input_CMS_2!$I78/100)</f>
        <v>828.46320170332308</v>
      </c>
      <c r="P51" s="13">
        <f>O51*(1+Input_CMS_2!$I79/100)</f>
        <v>863.25865617486272</v>
      </c>
      <c r="Q51" s="13">
        <f>P51*(1+AVERAGE(Input_CMS_2!$I$77:$I$79)/100)</f>
        <v>899.8032726195986</v>
      </c>
      <c r="R51" s="13">
        <f>Q51*(1+AVERAGE(Input_CMS_2!$I$77:$I$79)/100)</f>
        <v>937.89494449382823</v>
      </c>
      <c r="S51" s="13">
        <f>R51*(1+AVERAGE(Input_CMS_2!$I$77:$I$79)/100)</f>
        <v>977.59916381073367</v>
      </c>
    </row>
    <row r="52" spans="1:19">
      <c r="A52" t="s">
        <v>191</v>
      </c>
      <c r="B52" s="13">
        <f>SUM(B49:B51)</f>
        <v>9775.6068504467694</v>
      </c>
      <c r="C52" s="13">
        <f t="shared" ref="C52:S52" si="21">SUM(C49:C51)</f>
        <v>10557.563738186991</v>
      </c>
      <c r="D52" s="13">
        <f t="shared" si="21"/>
        <v>10576.373653788669</v>
      </c>
      <c r="E52" s="13">
        <f t="shared" si="21"/>
        <v>11281.305549419692</v>
      </c>
      <c r="F52" s="13">
        <f t="shared" si="21"/>
        <v>11561.977962979712</v>
      </c>
      <c r="G52" s="13">
        <f t="shared" si="21"/>
        <v>12452.680183836907</v>
      </c>
      <c r="H52" s="13">
        <f t="shared" si="21"/>
        <v>13045.628555234794</v>
      </c>
      <c r="I52" s="13">
        <f t="shared" si="21"/>
        <v>13635.630531772706</v>
      </c>
      <c r="J52" s="14">
        <f t="shared" si="21"/>
        <v>14248.433810732433</v>
      </c>
      <c r="K52" s="13">
        <f t="shared" si="21"/>
        <v>14883.8927970103</v>
      </c>
      <c r="L52" s="13">
        <f t="shared" si="21"/>
        <v>15537.251598620303</v>
      </c>
      <c r="M52" s="13">
        <f t="shared" si="21"/>
        <v>16211.18320154327</v>
      </c>
      <c r="N52" s="13">
        <f t="shared" si="21"/>
        <v>16922.234852486941</v>
      </c>
      <c r="O52" s="13">
        <f t="shared" si="21"/>
        <v>17678.126826737753</v>
      </c>
      <c r="P52" s="13">
        <f t="shared" si="21"/>
        <v>18476.022571728383</v>
      </c>
      <c r="Q52" s="13">
        <f t="shared" si="21"/>
        <v>19457.785518307828</v>
      </c>
      <c r="R52" s="13">
        <f t="shared" si="21"/>
        <v>20491.822237367327</v>
      </c>
      <c r="S52" s="13">
        <f t="shared" si="21"/>
        <v>21580.920554735108</v>
      </c>
    </row>
    <row r="53" spans="1:19">
      <c r="A53" t="s">
        <v>192</v>
      </c>
      <c r="B53" s="55">
        <f>-B52/B20</f>
        <v>-2.7994122287822221E-2</v>
      </c>
      <c r="C53" s="55">
        <f t="shared" ref="C53:S53" si="22">-C52/C20</f>
        <v>-2.8619588359545343E-2</v>
      </c>
      <c r="D53" s="55">
        <f t="shared" si="22"/>
        <v>-2.7385526335836435E-2</v>
      </c>
      <c r="E53" s="55">
        <f t="shared" si="22"/>
        <v>-2.7996148474264348E-2</v>
      </c>
      <c r="F53" s="55">
        <f t="shared" si="22"/>
        <v>-2.7397863493937413E-2</v>
      </c>
      <c r="G53" s="55">
        <f t="shared" si="22"/>
        <v>-2.8224973263154852E-2</v>
      </c>
      <c r="H53" s="55">
        <f t="shared" si="22"/>
        <v>-2.8106489613454477E-2</v>
      </c>
      <c r="I53" s="55">
        <f t="shared" si="22"/>
        <v>-2.7958050449131557E-2</v>
      </c>
      <c r="J53" s="193">
        <f t="shared" si="22"/>
        <v>-2.7649525798581875E-2</v>
      </c>
      <c r="K53" s="55">
        <f t="shared" si="22"/>
        <v>-2.7353594863243232E-2</v>
      </c>
      <c r="L53" s="55">
        <f t="shared" si="22"/>
        <v>-2.7062448464977466E-2</v>
      </c>
      <c r="M53" s="55">
        <f t="shared" si="22"/>
        <v>-2.6718367381527847E-2</v>
      </c>
      <c r="N53" s="55">
        <f t="shared" si="22"/>
        <v>-2.6376103673490716E-2</v>
      </c>
      <c r="O53" s="55">
        <f t="shared" si="22"/>
        <v>-2.6078639077190185E-2</v>
      </c>
      <c r="P53" s="55">
        <f t="shared" si="22"/>
        <v>-2.580358006195381E-2</v>
      </c>
      <c r="Q53" s="55">
        <f t="shared" si="22"/>
        <v>-2.5713596945436297E-2</v>
      </c>
      <c r="R53" s="55">
        <f t="shared" si="22"/>
        <v>-2.562326374982523E-2</v>
      </c>
      <c r="S53" s="55">
        <f t="shared" si="22"/>
        <v>-2.5532588310142112E-2</v>
      </c>
    </row>
    <row r="54" spans="1:19">
      <c r="B54" s="55"/>
      <c r="C54" s="55"/>
      <c r="D54" s="55"/>
      <c r="E54" s="55"/>
      <c r="F54" s="55"/>
      <c r="G54" s="55"/>
      <c r="H54" s="55"/>
      <c r="I54" s="55"/>
      <c r="J54" s="193"/>
      <c r="K54" s="55"/>
      <c r="L54" s="55"/>
      <c r="M54" s="55"/>
      <c r="N54" s="55"/>
      <c r="O54" s="55"/>
      <c r="P54" s="55"/>
      <c r="Q54" s="55"/>
      <c r="R54" s="55"/>
      <c r="S54" s="55"/>
    </row>
    <row r="55" spans="1:19" s="6" customFormat="1">
      <c r="J55" s="154"/>
    </row>
    <row r="56" spans="1:19">
      <c r="D56" s="231"/>
    </row>
    <row r="57" spans="1:19">
      <c r="D57" s="23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1"/>
  <sheetViews>
    <sheetView workbookViewId="0">
      <selection activeCell="D7" sqref="D7"/>
    </sheetView>
  </sheetViews>
  <sheetFormatPr defaultColWidth="8.81640625" defaultRowHeight="14.5"/>
  <cols>
    <col min="1" max="1" width="67.7265625" customWidth="1"/>
    <col min="2" max="2" width="21.453125" style="3" customWidth="1"/>
    <col min="3" max="3" width="15.26953125" style="3" bestFit="1" customWidth="1"/>
    <col min="4" max="4" width="20" style="3" bestFit="1" customWidth="1"/>
    <col min="5" max="5" width="10.453125" style="3" bestFit="1" customWidth="1"/>
    <col min="6" max="6" width="10.81640625" style="3" bestFit="1" customWidth="1"/>
    <col min="7" max="7" width="14.453125" style="3" customWidth="1"/>
    <col min="8" max="8" width="13.453125" style="3" bestFit="1" customWidth="1"/>
    <col min="9" max="9" width="14" style="3" bestFit="1" customWidth="1"/>
    <col min="10" max="10" width="15.7265625" style="3" bestFit="1" customWidth="1"/>
    <col min="11" max="11" width="14.453125" style="3" bestFit="1" customWidth="1"/>
    <col min="14" max="15" width="9.1796875" style="3"/>
  </cols>
  <sheetData>
    <row r="1" spans="1:18" ht="43.5">
      <c r="A1" s="5" t="s">
        <v>1</v>
      </c>
      <c r="B1" s="310" t="s">
        <v>340</v>
      </c>
      <c r="C1" s="311" t="s">
        <v>339</v>
      </c>
      <c r="D1" s="311" t="s">
        <v>314</v>
      </c>
      <c r="E1" s="312" t="s">
        <v>319</v>
      </c>
      <c r="F1" s="311" t="s">
        <v>338</v>
      </c>
      <c r="G1" s="311" t="s">
        <v>164</v>
      </c>
      <c r="H1" s="311" t="s">
        <v>275</v>
      </c>
      <c r="I1" s="311" t="s">
        <v>351</v>
      </c>
      <c r="J1" s="311" t="s">
        <v>351</v>
      </c>
      <c r="K1" s="311" t="s">
        <v>318</v>
      </c>
      <c r="O1"/>
      <c r="Q1" s="3"/>
      <c r="R1" s="3"/>
    </row>
    <row r="2" spans="1:18">
      <c r="A2" s="214" t="s">
        <v>225</v>
      </c>
      <c r="B2" s="162" t="s">
        <v>226</v>
      </c>
      <c r="C2" s="162" t="s">
        <v>226</v>
      </c>
      <c r="D2" s="162" t="s">
        <v>226</v>
      </c>
      <c r="E2" s="163" t="s">
        <v>169</v>
      </c>
      <c r="F2" s="163" t="s">
        <v>226</v>
      </c>
      <c r="G2" s="163" t="s">
        <v>226</v>
      </c>
      <c r="H2" s="215" t="s">
        <v>227</v>
      </c>
      <c r="I2" s="306" t="s">
        <v>227</v>
      </c>
      <c r="J2" s="163" t="s">
        <v>228</v>
      </c>
      <c r="K2" s="163" t="s">
        <v>170</v>
      </c>
      <c r="O2"/>
      <c r="Q2" s="3"/>
      <c r="R2" s="3"/>
    </row>
    <row r="3" spans="1:18" s="150" customFormat="1" ht="29">
      <c r="A3" s="150" t="s">
        <v>172</v>
      </c>
      <c r="B3" s="165">
        <v>1.7000000000000001E-2</v>
      </c>
      <c r="C3" s="160">
        <v>7.0000000000000007E-2</v>
      </c>
      <c r="D3" s="289">
        <v>8.8300000000000003E-2</v>
      </c>
      <c r="E3" s="290">
        <v>2.5000000000000001E-2</v>
      </c>
      <c r="F3" s="307">
        <v>-0.4</v>
      </c>
      <c r="G3" s="160" t="s">
        <v>165</v>
      </c>
      <c r="H3" s="164">
        <v>5.8799999999999998E-2</v>
      </c>
      <c r="I3" s="160" t="s">
        <v>165</v>
      </c>
      <c r="J3" s="308" t="s">
        <v>279</v>
      </c>
      <c r="K3" s="164">
        <f>0.05*Baseline!J37/Baseline!J26</f>
        <v>0.90103316325540783</v>
      </c>
      <c r="Q3" s="151"/>
      <c r="R3" s="151"/>
    </row>
    <row r="4" spans="1:18">
      <c r="A4" t="s">
        <v>4</v>
      </c>
      <c r="B4" s="9">
        <v>1.0085</v>
      </c>
      <c r="C4" s="4">
        <v>1</v>
      </c>
      <c r="D4" s="291">
        <v>1.044</v>
      </c>
      <c r="E4" s="291">
        <v>1.0125</v>
      </c>
      <c r="F4" s="9">
        <v>1</v>
      </c>
      <c r="G4" s="4">
        <v>0.98699999999999999</v>
      </c>
      <c r="H4" s="9">
        <v>1.0294000000000001</v>
      </c>
      <c r="I4" s="4">
        <f>1-0.05*(1-UF_Assumptions_1!$B$33)</f>
        <v>0.95867767308257412</v>
      </c>
      <c r="J4" s="4">
        <f t="shared" ref="J4:J13" si="0">1-0.5*(1-I4)</f>
        <v>0.97933883654128706</v>
      </c>
      <c r="K4" s="4">
        <v>1</v>
      </c>
      <c r="O4"/>
      <c r="Q4" s="3"/>
      <c r="R4" s="3"/>
    </row>
    <row r="5" spans="1:18">
      <c r="A5" t="s">
        <v>5</v>
      </c>
      <c r="B5" s="9">
        <f>1+$B$3</f>
        <v>1.0169999999999999</v>
      </c>
      <c r="C5" s="4">
        <v>1</v>
      </c>
      <c r="D5" s="291">
        <f t="shared" ref="D5:D13" si="1">1+$D$3</f>
        <v>1.0883</v>
      </c>
      <c r="E5" s="291">
        <f t="shared" ref="E5:E13" si="2">1+$E$3</f>
        <v>1.0249999999999999</v>
      </c>
      <c r="F5" s="9">
        <v>1</v>
      </c>
      <c r="G5" s="4">
        <v>0.96</v>
      </c>
      <c r="H5" s="9">
        <f>1+$H$3</f>
        <v>1.0588</v>
      </c>
      <c r="I5" s="4">
        <f>1-0.07*(1-UF_Assumptions_1!$B$33)</f>
        <v>0.94214874231560375</v>
      </c>
      <c r="J5" s="4">
        <f t="shared" si="0"/>
        <v>0.97107437115780182</v>
      </c>
      <c r="K5" s="161">
        <v>1</v>
      </c>
      <c r="O5"/>
      <c r="Q5" s="3"/>
      <c r="R5" s="3"/>
    </row>
    <row r="6" spans="1:18">
      <c r="A6" t="s">
        <v>6</v>
      </c>
      <c r="B6" s="9">
        <f>1+$B$3</f>
        <v>1.0169999999999999</v>
      </c>
      <c r="C6" s="4">
        <v>1</v>
      </c>
      <c r="D6" s="291">
        <f t="shared" si="1"/>
        <v>1.0883</v>
      </c>
      <c r="E6" s="291">
        <f t="shared" si="2"/>
        <v>1.0249999999999999</v>
      </c>
      <c r="F6" s="9">
        <v>1</v>
      </c>
      <c r="G6" s="4">
        <v>1</v>
      </c>
      <c r="H6" s="9">
        <f>1+$H$3</f>
        <v>1.0588</v>
      </c>
      <c r="I6" s="4">
        <f>1-0.05*(1-UF_Assumptions_1!$B$33)</f>
        <v>0.95867767308257412</v>
      </c>
      <c r="J6" s="4">
        <f t="shared" si="0"/>
        <v>0.97933883654128706</v>
      </c>
      <c r="K6" s="4">
        <v>1</v>
      </c>
      <c r="O6"/>
      <c r="P6" s="9"/>
      <c r="Q6" s="3"/>
      <c r="R6" s="3"/>
    </row>
    <row r="7" spans="1:18">
      <c r="A7" t="s">
        <v>7</v>
      </c>
      <c r="B7" s="9">
        <f>1+$B$3</f>
        <v>1.0169999999999999</v>
      </c>
      <c r="C7" s="9">
        <f>1+C3</f>
        <v>1.07</v>
      </c>
      <c r="D7" s="291">
        <f t="shared" si="1"/>
        <v>1.0883</v>
      </c>
      <c r="E7" s="291">
        <f t="shared" si="2"/>
        <v>1.0249999999999999</v>
      </c>
      <c r="F7" s="9">
        <v>1</v>
      </c>
      <c r="G7" s="4">
        <v>1</v>
      </c>
      <c r="H7" s="9">
        <f>1+$H$3</f>
        <v>1.0588</v>
      </c>
      <c r="I7" s="4">
        <f>1-0.05*(1-UF_Assumptions_1!$B$33)</f>
        <v>0.95867767308257412</v>
      </c>
      <c r="J7" s="4">
        <f t="shared" si="0"/>
        <v>0.97933883654128706</v>
      </c>
      <c r="K7" s="4">
        <v>1</v>
      </c>
      <c r="O7"/>
      <c r="P7" s="9"/>
      <c r="Q7" s="3"/>
      <c r="R7" s="3"/>
    </row>
    <row r="8" spans="1:18">
      <c r="A8" t="s">
        <v>8</v>
      </c>
      <c r="B8" s="9">
        <v>1</v>
      </c>
      <c r="C8" s="4">
        <v>1</v>
      </c>
      <c r="D8" s="9">
        <v>1</v>
      </c>
      <c r="E8" s="9">
        <v>1</v>
      </c>
      <c r="F8" s="9">
        <v>1</v>
      </c>
      <c r="G8" s="4">
        <v>1</v>
      </c>
      <c r="H8" s="9">
        <v>1</v>
      </c>
      <c r="I8" s="4">
        <f>1-0.05*(1-UF_Assumptions_1!$B$33)</f>
        <v>0.95867767308257412</v>
      </c>
      <c r="J8" s="4">
        <f t="shared" si="0"/>
        <v>0.97933883654128706</v>
      </c>
      <c r="K8" s="4">
        <f>1+K3</f>
        <v>1.9010331632554078</v>
      </c>
      <c r="O8"/>
      <c r="Q8" s="3"/>
      <c r="R8" s="3"/>
    </row>
    <row r="9" spans="1:18">
      <c r="A9" t="s">
        <v>9</v>
      </c>
      <c r="B9" s="9">
        <f>1+$B$3</f>
        <v>1.0169999999999999</v>
      </c>
      <c r="C9" s="4">
        <v>1</v>
      </c>
      <c r="D9" s="291">
        <f t="shared" si="1"/>
        <v>1.0883</v>
      </c>
      <c r="E9" s="291">
        <f t="shared" si="2"/>
        <v>1.0249999999999999</v>
      </c>
      <c r="F9" s="9">
        <v>1</v>
      </c>
      <c r="G9" s="4">
        <v>1</v>
      </c>
      <c r="H9" s="9">
        <f>1+$H$3</f>
        <v>1.0588</v>
      </c>
      <c r="I9" s="4">
        <f>1-0.05*(1-UF_Assumptions_1!$B$33)</f>
        <v>0.95867767308257412</v>
      </c>
      <c r="J9" s="4">
        <f t="shared" si="0"/>
        <v>0.97933883654128706</v>
      </c>
      <c r="K9" s="4">
        <v>1</v>
      </c>
      <c r="O9"/>
      <c r="Q9" s="3"/>
      <c r="R9" s="3"/>
    </row>
    <row r="10" spans="1:18">
      <c r="A10" t="s">
        <v>10</v>
      </c>
      <c r="B10" s="9">
        <v>1</v>
      </c>
      <c r="C10" s="4">
        <v>1</v>
      </c>
      <c r="D10" s="291">
        <v>1</v>
      </c>
      <c r="E10" s="291">
        <v>1</v>
      </c>
      <c r="F10" s="9">
        <v>1</v>
      </c>
      <c r="G10" s="4">
        <v>0.95899999999999996</v>
      </c>
      <c r="H10" s="9">
        <v>1</v>
      </c>
      <c r="I10" s="4">
        <f>1-0.05*(1-UF_Assumptions_1!$B$33)</f>
        <v>0.95867767308257412</v>
      </c>
      <c r="J10" s="4">
        <f t="shared" si="0"/>
        <v>0.97933883654128706</v>
      </c>
      <c r="K10" s="4">
        <v>1</v>
      </c>
      <c r="O10"/>
      <c r="Q10" s="3"/>
      <c r="R10" s="3"/>
    </row>
    <row r="11" spans="1:18">
      <c r="A11" t="s">
        <v>17</v>
      </c>
      <c r="B11" s="9">
        <f>1+$B$3</f>
        <v>1.0169999999999999</v>
      </c>
      <c r="C11" s="4">
        <v>1</v>
      </c>
      <c r="D11" s="291">
        <f t="shared" si="1"/>
        <v>1.0883</v>
      </c>
      <c r="E11" s="291">
        <f t="shared" si="2"/>
        <v>1.0249999999999999</v>
      </c>
      <c r="F11" s="9">
        <f>1+F3</f>
        <v>0.6</v>
      </c>
      <c r="G11" s="4">
        <v>1</v>
      </c>
      <c r="H11" s="9">
        <f>1+$H$3</f>
        <v>1.0588</v>
      </c>
      <c r="I11" s="4">
        <v>0.99</v>
      </c>
      <c r="J11" s="4">
        <f t="shared" si="0"/>
        <v>0.995</v>
      </c>
      <c r="K11" s="4">
        <v>1</v>
      </c>
      <c r="O11"/>
      <c r="Q11" s="3"/>
      <c r="R11" s="3"/>
    </row>
    <row r="12" spans="1:18">
      <c r="A12" t="s">
        <v>16</v>
      </c>
      <c r="B12" s="291">
        <v>1</v>
      </c>
      <c r="C12" s="4">
        <v>1</v>
      </c>
      <c r="D12" s="291">
        <v>1</v>
      </c>
      <c r="E12" s="291">
        <v>1</v>
      </c>
      <c r="F12" s="4">
        <v>1</v>
      </c>
      <c r="G12" s="4">
        <v>1</v>
      </c>
      <c r="H12" s="9">
        <f>1+$H$3</f>
        <v>1.0588</v>
      </c>
      <c r="I12" s="4">
        <f>1-0.05*(1-UF_Assumptions_1!$B$33)</f>
        <v>0.95867767308257412</v>
      </c>
      <c r="J12" s="4">
        <f t="shared" si="0"/>
        <v>0.97933883654128706</v>
      </c>
      <c r="K12" s="4">
        <v>1</v>
      </c>
      <c r="O12"/>
      <c r="Q12" s="3"/>
      <c r="R12" s="3"/>
    </row>
    <row r="13" spans="1:18">
      <c r="A13" t="s">
        <v>11</v>
      </c>
      <c r="B13" s="9">
        <f>1+$B$3</f>
        <v>1.0169999999999999</v>
      </c>
      <c r="C13" s="4">
        <v>1</v>
      </c>
      <c r="D13" s="291">
        <f t="shared" si="1"/>
        <v>1.0883</v>
      </c>
      <c r="E13" s="291">
        <f t="shared" si="2"/>
        <v>1.0249999999999999</v>
      </c>
      <c r="F13" s="4">
        <v>1</v>
      </c>
      <c r="G13" s="4">
        <v>1</v>
      </c>
      <c r="H13" s="9">
        <f>1+$H$3</f>
        <v>1.0588</v>
      </c>
      <c r="I13" s="4">
        <f>1-0.05*(1-UF_Assumptions_1!$B$33)</f>
        <v>0.95867767308257412</v>
      </c>
      <c r="J13" s="4">
        <f t="shared" si="0"/>
        <v>0.97933883654128706</v>
      </c>
      <c r="K13" s="4">
        <v>1</v>
      </c>
      <c r="O13"/>
      <c r="Q13" s="3"/>
      <c r="R13" s="3"/>
    </row>
    <row r="14" spans="1:18" s="6" customFormat="1">
      <c r="B14" s="9"/>
      <c r="C14" s="9"/>
      <c r="D14" s="9"/>
      <c r="E14" s="9"/>
      <c r="F14" s="9"/>
      <c r="G14" s="9"/>
      <c r="H14" s="9"/>
      <c r="I14" s="9"/>
      <c r="J14" s="9"/>
      <c r="K14" s="9"/>
      <c r="N14" s="12"/>
      <c r="O14" s="12"/>
    </row>
    <row r="15" spans="1:18" s="152" customFormat="1">
      <c r="A15" s="309" t="s">
        <v>223</v>
      </c>
      <c r="B15" s="156"/>
      <c r="C15" s="157"/>
      <c r="D15" s="157"/>
      <c r="E15" s="157"/>
      <c r="F15" s="157"/>
      <c r="G15" s="157"/>
      <c r="H15" s="157"/>
      <c r="I15" s="157"/>
      <c r="J15" s="157"/>
      <c r="K15" s="157"/>
      <c r="N15" s="153"/>
      <c r="O15" s="153"/>
    </row>
    <row r="16" spans="1:18" s="152" customFormat="1">
      <c r="A16" s="158" t="s">
        <v>217</v>
      </c>
      <c r="B16" s="159">
        <v>2022</v>
      </c>
      <c r="C16" s="159">
        <v>2023</v>
      </c>
      <c r="D16" s="159">
        <v>2024</v>
      </c>
      <c r="E16" s="159">
        <v>2025</v>
      </c>
      <c r="F16" s="159">
        <v>2026</v>
      </c>
      <c r="G16" s="159">
        <v>2027</v>
      </c>
      <c r="H16" s="159">
        <v>2028</v>
      </c>
      <c r="I16" s="159">
        <v>2029</v>
      </c>
      <c r="J16" s="159">
        <v>2030</v>
      </c>
      <c r="K16" s="159">
        <v>2031</v>
      </c>
      <c r="N16" s="153"/>
      <c r="O16" s="153"/>
    </row>
    <row r="17" spans="1:15" s="152" customFormat="1">
      <c r="A17" s="152" t="s">
        <v>174</v>
      </c>
      <c r="B17" s="155">
        <f>Baseline!J32/(SUM(Baseline!J22:J31)+Baseline!J32)</f>
        <v>8.5209410874267658E-2</v>
      </c>
      <c r="C17" s="155">
        <f>Baseline!K32/(SUM(Baseline!K22:K31)+Baseline!K32)</f>
        <v>8.526732208602382E-2</v>
      </c>
      <c r="D17" s="155">
        <f>Baseline!L32/(SUM(Baseline!L22:L31)+Baseline!L32)</f>
        <v>8.5243479143220544E-2</v>
      </c>
      <c r="E17" s="155">
        <f>Baseline!M32/(SUM(Baseline!M22:M31)+Baseline!M32)</f>
        <v>8.512192835828547E-2</v>
      </c>
      <c r="F17" s="155">
        <f>Baseline!N32/(SUM(Baseline!N22:N31)+Baseline!N32)</f>
        <v>8.5006095333184942E-2</v>
      </c>
      <c r="G17" s="155">
        <f>Baseline!O32/(SUM(Baseline!O22:O31)+Baseline!O32)</f>
        <v>8.5022472785142356E-2</v>
      </c>
      <c r="H17" s="155">
        <f>Baseline!P32/(SUM(Baseline!P22:P31)+Baseline!P32)</f>
        <v>8.4928575425726849E-2</v>
      </c>
      <c r="I17" s="155">
        <f>Baseline!Q32/(SUM(Baseline!Q22:Q31)+Baseline!Q32)</f>
        <v>8.4863337420227933E-2</v>
      </c>
      <c r="J17" s="155">
        <f>Baseline!R32/(SUM(Baseline!R22:R31)+Baseline!R32)</f>
        <v>8.4797742331194526E-2</v>
      </c>
      <c r="K17" s="155">
        <f>Baseline!S32/(SUM(Baseline!S22:S31)+Baseline!S32)</f>
        <v>8.4731803434529504E-2</v>
      </c>
      <c r="N17" s="153"/>
      <c r="O17" s="153"/>
    </row>
    <row r="18" spans="1:15" s="152" customFormat="1">
      <c r="A18" s="152" t="s">
        <v>278</v>
      </c>
      <c r="B18" s="155">
        <v>0.03</v>
      </c>
      <c r="C18" s="155">
        <v>0.03</v>
      </c>
      <c r="D18" s="155">
        <v>0.03</v>
      </c>
      <c r="E18" s="155">
        <v>0.03</v>
      </c>
      <c r="F18" s="155">
        <v>0.03</v>
      </c>
      <c r="G18" s="155">
        <v>0.03</v>
      </c>
      <c r="H18" s="155">
        <v>0.03</v>
      </c>
      <c r="I18" s="155">
        <v>0.03</v>
      </c>
      <c r="J18" s="155">
        <v>0.03</v>
      </c>
      <c r="K18" s="155">
        <v>0.03</v>
      </c>
      <c r="N18" s="153"/>
      <c r="O18" s="153"/>
    </row>
    <row r="19" spans="1:15" s="152" customFormat="1">
      <c r="A19" s="152" t="s">
        <v>20</v>
      </c>
      <c r="B19" s="155">
        <v>0.06</v>
      </c>
      <c r="C19" s="155">
        <v>0.06</v>
      </c>
      <c r="D19" s="155">
        <v>0.06</v>
      </c>
      <c r="E19" s="155">
        <v>0.06</v>
      </c>
      <c r="F19" s="155">
        <v>0.06</v>
      </c>
      <c r="G19" s="155">
        <v>0.06</v>
      </c>
      <c r="H19" s="155">
        <v>0.06</v>
      </c>
      <c r="I19" s="155">
        <v>0.06</v>
      </c>
      <c r="J19" s="155">
        <v>0.06</v>
      </c>
      <c r="K19" s="155">
        <v>0.06</v>
      </c>
      <c r="N19" s="153"/>
      <c r="O19" s="153"/>
    </row>
    <row r="20" spans="1:15" s="6" customFormat="1">
      <c r="B20" s="12"/>
      <c r="C20" s="12"/>
      <c r="D20" s="12"/>
      <c r="E20" s="12"/>
      <c r="F20" s="12"/>
      <c r="G20" s="12"/>
      <c r="H20" s="12"/>
      <c r="I20" s="12"/>
      <c r="J20" s="12"/>
      <c r="K20" s="12"/>
      <c r="N20" s="12"/>
      <c r="O20" s="12"/>
    </row>
    <row r="21" spans="1:15">
      <c r="A21" s="304" t="s">
        <v>336</v>
      </c>
      <c r="B21" s="305"/>
    </row>
    <row r="22" spans="1:15">
      <c r="A22" t="s">
        <v>19</v>
      </c>
      <c r="B22" s="263"/>
      <c r="C22" s="263"/>
      <c r="D22" s="263"/>
      <c r="E22" s="263"/>
      <c r="F22" s="263"/>
      <c r="G22" s="263"/>
      <c r="H22" s="263"/>
      <c r="I22" s="263"/>
      <c r="J22" s="263"/>
      <c r="K22" s="263"/>
      <c r="N22" s="263"/>
      <c r="O22" s="263"/>
    </row>
    <row r="23" spans="1:15">
      <c r="A23" t="s">
        <v>272</v>
      </c>
      <c r="B23" s="168">
        <f>61500000000*2</f>
        <v>123000000000</v>
      </c>
    </row>
    <row r="24" spans="1:15">
      <c r="A24" t="s">
        <v>352</v>
      </c>
      <c r="B24" s="168">
        <v>65000000000</v>
      </c>
      <c r="C24" s="263"/>
      <c r="D24" s="263"/>
      <c r="E24" s="263"/>
      <c r="F24" s="263"/>
      <c r="G24" s="263"/>
      <c r="H24" s="263"/>
      <c r="I24" s="263"/>
      <c r="J24" s="263"/>
      <c r="K24" s="263"/>
      <c r="N24" s="263"/>
      <c r="O24" s="263"/>
    </row>
    <row r="25" spans="1:15">
      <c r="A25" t="s">
        <v>353</v>
      </c>
      <c r="B25" s="168">
        <v>58000000000</v>
      </c>
      <c r="C25" s="263"/>
      <c r="D25" s="263"/>
      <c r="E25" s="263"/>
      <c r="F25" s="263"/>
      <c r="G25" s="263"/>
      <c r="H25" s="263"/>
      <c r="I25" s="263"/>
      <c r="J25" s="263"/>
      <c r="K25" s="263"/>
      <c r="N25" s="263"/>
      <c r="O25" s="263"/>
    </row>
    <row r="26" spans="1:15">
      <c r="A26" t="s">
        <v>273</v>
      </c>
      <c r="B26" s="168">
        <f>B23*(1+Input_CMS_6!H24/100)*(1+Input_CMS_6!I24/100)*(1+Input_CMS_6!J24/100)*(1+Input_CMS_6!K24/100)*(1+Input_CMS_6!L24/100)</f>
        <v>155336681386.65601</v>
      </c>
    </row>
    <row r="27" spans="1:15">
      <c r="A27" t="s">
        <v>310</v>
      </c>
      <c r="B27" s="168">
        <f>B26*0.12</f>
        <v>18640401766.39872</v>
      </c>
    </row>
    <row r="28" spans="1:15">
      <c r="A28" t="s">
        <v>311</v>
      </c>
      <c r="B28" s="168">
        <f>-PMT(0.0227/12,10*12,B27)*12</f>
        <v>2085361188.8863685</v>
      </c>
      <c r="C28" s="263"/>
      <c r="D28" s="263"/>
      <c r="E28" s="263"/>
      <c r="F28" s="263"/>
      <c r="G28" s="263"/>
      <c r="H28" s="263"/>
      <c r="I28" s="263"/>
      <c r="J28" s="263"/>
      <c r="K28" s="263"/>
      <c r="N28" s="263"/>
      <c r="O28" s="263"/>
    </row>
    <row r="29" spans="1:15">
      <c r="A29" t="s">
        <v>20</v>
      </c>
      <c r="B29" s="168"/>
      <c r="C29" s="263"/>
      <c r="D29" s="263"/>
      <c r="E29" s="263"/>
      <c r="F29" s="263"/>
      <c r="G29" s="263"/>
      <c r="H29" s="263"/>
      <c r="I29" s="263"/>
      <c r="J29" s="263"/>
      <c r="K29" s="263"/>
      <c r="N29" s="263"/>
      <c r="O29" s="263"/>
    </row>
    <row r="30" spans="1:15">
      <c r="A30" t="s">
        <v>274</v>
      </c>
      <c r="B30" s="286">
        <f>0.5</f>
        <v>0.5</v>
      </c>
      <c r="C30" s="5"/>
    </row>
    <row r="32" spans="1:15">
      <c r="A32" s="2" t="s">
        <v>173</v>
      </c>
      <c r="B32" s="2"/>
    </row>
    <row r="33" spans="1:15">
      <c r="A33" t="s">
        <v>265</v>
      </c>
      <c r="B33" s="269">
        <f>(84500*8.4/12.4)/(Baseline!G22+Baseline!G23+Baseline!G24+Baseline!G27+Baseline!G29+Baseline!G31+Baseline!G34)</f>
        <v>0.17355346165148203</v>
      </c>
    </row>
    <row r="34" spans="1:15">
      <c r="A34" t="s">
        <v>270</v>
      </c>
      <c r="B34" s="269">
        <f>SUM(B36:B38)/B39</f>
        <v>0.58760281012658233</v>
      </c>
    </row>
    <row r="35" spans="1:15">
      <c r="B35"/>
    </row>
    <row r="36" spans="1:15">
      <c r="A36" t="s">
        <v>266</v>
      </c>
      <c r="B36" s="270">
        <v>10471446</v>
      </c>
    </row>
    <row r="37" spans="1:15">
      <c r="A37" t="s">
        <v>267</v>
      </c>
      <c r="B37" s="270">
        <v>2688030</v>
      </c>
    </row>
    <row r="38" spans="1:15">
      <c r="A38" t="s">
        <v>268</v>
      </c>
      <c r="B38" s="270">
        <v>10050835</v>
      </c>
    </row>
    <row r="39" spans="1:15">
      <c r="A39" t="s">
        <v>269</v>
      </c>
      <c r="B39" s="270">
        <v>39500000</v>
      </c>
    </row>
    <row r="41" spans="1:15">
      <c r="A41" s="314" t="s">
        <v>379</v>
      </c>
      <c r="B41" s="315"/>
      <c r="C41" s="315"/>
      <c r="D41" s="315"/>
      <c r="E41" s="315"/>
      <c r="F41" s="315"/>
      <c r="G41" s="315"/>
      <c r="H41" s="315"/>
      <c r="I41" s="315"/>
    </row>
    <row r="42" spans="1:15">
      <c r="A42" t="s">
        <v>384</v>
      </c>
      <c r="B42" s="263" t="s">
        <v>291</v>
      </c>
      <c r="C42"/>
      <c r="D42"/>
      <c r="E42"/>
      <c r="F42"/>
    </row>
    <row r="43" spans="1:15">
      <c r="A43" t="s">
        <v>292</v>
      </c>
      <c r="B43" s="277">
        <v>0.3</v>
      </c>
      <c r="C43" s="278"/>
      <c r="D43" s="277"/>
      <c r="E43"/>
      <c r="F43"/>
    </row>
    <row r="44" spans="1:15">
      <c r="A44" t="s">
        <v>293</v>
      </c>
      <c r="B44" s="277">
        <v>0.94</v>
      </c>
      <c r="C44" s="277"/>
      <c r="D44" s="166"/>
      <c r="E44"/>
      <c r="F44"/>
    </row>
    <row r="45" spans="1:15">
      <c r="A45" t="s">
        <v>290</v>
      </c>
      <c r="B45" s="166">
        <v>3.7999999999999999E-2</v>
      </c>
      <c r="C45"/>
      <c r="D45"/>
      <c r="E45"/>
      <c r="F45"/>
    </row>
    <row r="46" spans="1:15">
      <c r="A46" t="s">
        <v>294</v>
      </c>
      <c r="B46" s="269">
        <v>2.1999999999999999E-2</v>
      </c>
      <c r="C46"/>
      <c r="D46"/>
      <c r="E46"/>
      <c r="F46"/>
    </row>
    <row r="47" spans="1:15">
      <c r="B47" s="275"/>
      <c r="C47" s="269"/>
      <c r="D47"/>
      <c r="E47"/>
      <c r="F47"/>
      <c r="G47" s="263"/>
      <c r="H47" s="263"/>
      <c r="I47" s="263"/>
      <c r="J47" s="263"/>
      <c r="K47" s="263"/>
      <c r="N47" s="263"/>
      <c r="O47" s="263"/>
    </row>
    <row r="48" spans="1:15">
      <c r="A48" t="s">
        <v>297</v>
      </c>
      <c r="B48"/>
      <c r="C48"/>
      <c r="D48"/>
      <c r="E48"/>
      <c r="F48"/>
      <c r="G48"/>
      <c r="H48"/>
    </row>
    <row r="49" spans="1:8">
      <c r="A49" s="277" t="s">
        <v>295</v>
      </c>
      <c r="B49"/>
      <c r="C49" s="318" t="s">
        <v>290</v>
      </c>
      <c r="D49" s="277">
        <v>2.5</v>
      </c>
      <c r="E49"/>
      <c r="F49"/>
      <c r="G49"/>
      <c r="H49"/>
    </row>
    <row r="50" spans="1:8">
      <c r="A50" s="277">
        <v>1</v>
      </c>
      <c r="B50"/>
      <c r="C50" s="317">
        <f>C51*(A50/A51)</f>
        <v>4.6808510638297871E-2</v>
      </c>
      <c r="D50" s="269">
        <f>C50*D49</f>
        <v>0.11702127659574468</v>
      </c>
      <c r="E50"/>
      <c r="F50"/>
      <c r="G50"/>
      <c r="H50"/>
    </row>
    <row r="51" spans="1:8">
      <c r="A51" s="277">
        <v>0.94</v>
      </c>
      <c r="B51"/>
      <c r="C51" s="269">
        <f>B46*2</f>
        <v>4.3999999999999997E-2</v>
      </c>
      <c r="D51" s="269"/>
      <c r="E51"/>
      <c r="F51"/>
      <c r="G51"/>
      <c r="H51"/>
    </row>
    <row r="52" spans="1:8">
      <c r="A52" s="277">
        <v>0.89500000000000002</v>
      </c>
      <c r="B52"/>
      <c r="C52" s="278">
        <f>C51*(A52/A51)</f>
        <v>4.18936170212766E-2</v>
      </c>
      <c r="D52" s="269">
        <f>C52*D49</f>
        <v>0.10473404255319149</v>
      </c>
      <c r="E52"/>
      <c r="F52"/>
      <c r="G52"/>
      <c r="H52"/>
    </row>
    <row r="53" spans="1:8">
      <c r="A53" t="s">
        <v>296</v>
      </c>
      <c r="B53" s="275"/>
      <c r="C53"/>
      <c r="D53"/>
      <c r="E53"/>
      <c r="F53"/>
    </row>
    <row r="54" spans="1:8">
      <c r="A54" s="277" t="s">
        <v>295</v>
      </c>
      <c r="B54"/>
      <c r="C54" s="318" t="s">
        <v>290</v>
      </c>
      <c r="D54" s="277">
        <v>2.5</v>
      </c>
      <c r="E54"/>
      <c r="F54"/>
      <c r="G54"/>
      <c r="H54"/>
    </row>
    <row r="55" spans="1:8">
      <c r="A55" s="277">
        <v>1</v>
      </c>
      <c r="B55"/>
      <c r="C55" s="269">
        <f>C56/0.94</f>
        <v>2.3404255319148935E-2</v>
      </c>
      <c r="D55" s="269">
        <f>C55*D54</f>
        <v>5.8510638297872342E-2</v>
      </c>
      <c r="E55"/>
      <c r="F55"/>
      <c r="G55"/>
      <c r="H55"/>
    </row>
    <row r="56" spans="1:8">
      <c r="A56" s="277">
        <v>0.94</v>
      </c>
      <c r="B56"/>
      <c r="C56" s="269">
        <v>2.1999999999999999E-2</v>
      </c>
      <c r="D56"/>
      <c r="E56"/>
      <c r="F56"/>
      <c r="G56"/>
      <c r="H56"/>
    </row>
    <row r="57" spans="1:8">
      <c r="A57" s="277">
        <v>0.89500000000000002</v>
      </c>
      <c r="B57"/>
      <c r="C57" s="278">
        <f>C56*(A57/A56)</f>
        <v>2.09468085106383E-2</v>
      </c>
      <c r="D57" s="269">
        <f>C57*D54</f>
        <v>5.2367021276595746E-2</v>
      </c>
      <c r="E57"/>
      <c r="F57"/>
      <c r="G57"/>
      <c r="H57"/>
    </row>
    <row r="58" spans="1:8">
      <c r="B58"/>
      <c r="C58"/>
      <c r="D58"/>
      <c r="E58"/>
      <c r="F58"/>
      <c r="G58"/>
      <c r="H58"/>
    </row>
    <row r="59" spans="1:8">
      <c r="B59"/>
      <c r="C59"/>
      <c r="D59"/>
      <c r="E59"/>
      <c r="F59"/>
      <c r="G59"/>
      <c r="H59"/>
    </row>
    <row r="60" spans="1:8">
      <c r="A60" t="s">
        <v>288</v>
      </c>
      <c r="B60" s="302">
        <v>20000</v>
      </c>
      <c r="C60"/>
      <c r="D60"/>
      <c r="E60"/>
      <c r="F60"/>
      <c r="G60"/>
      <c r="H60"/>
    </row>
    <row r="61" spans="1:8">
      <c r="A61" t="s">
        <v>326</v>
      </c>
      <c r="B61" s="292">
        <f>(B60*2)/30</f>
        <v>1333.3333333333333</v>
      </c>
      <c r="C61" t="s">
        <v>289</v>
      </c>
      <c r="D61"/>
      <c r="E61"/>
      <c r="F61"/>
      <c r="G61"/>
      <c r="H61"/>
    </row>
    <row r="62" spans="1:8">
      <c r="B62"/>
      <c r="C62"/>
      <c r="D62"/>
      <c r="E62"/>
      <c r="F62"/>
      <c r="G62"/>
      <c r="H62"/>
    </row>
    <row r="63" spans="1:8">
      <c r="A63" t="s">
        <v>327</v>
      </c>
      <c r="B63" s="302">
        <v>10</v>
      </c>
      <c r="C63"/>
      <c r="D63"/>
      <c r="E63"/>
      <c r="F63"/>
      <c r="G63"/>
      <c r="H63"/>
    </row>
    <row r="65" spans="1:2">
      <c r="B65" t="s">
        <v>324</v>
      </c>
    </row>
    <row r="66" spans="1:2">
      <c r="A66" t="s">
        <v>357</v>
      </c>
      <c r="B66" s="278">
        <f>D50</f>
        <v>0.11702127659574468</v>
      </c>
    </row>
    <row r="67" spans="1:2">
      <c r="A67" t="s">
        <v>358</v>
      </c>
      <c r="B67" s="278">
        <f>D52</f>
        <v>0.10473404255319149</v>
      </c>
    </row>
    <row r="68" spans="1:2">
      <c r="A68" t="s">
        <v>359</v>
      </c>
      <c r="B68" s="278">
        <f>D55</f>
        <v>5.8510638297872342E-2</v>
      </c>
    </row>
    <row r="69" spans="1:2">
      <c r="A69" t="s">
        <v>360</v>
      </c>
      <c r="B69" s="278">
        <f>D57</f>
        <v>5.2367021276595746E-2</v>
      </c>
    </row>
    <row r="70" spans="1:2">
      <c r="B70"/>
    </row>
    <row r="71" spans="1:2">
      <c r="A71" t="s">
        <v>325</v>
      </c>
      <c r="B71" s="303">
        <v>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3"/>
  <sheetViews>
    <sheetView workbookViewId="0">
      <selection activeCell="D7" sqref="D7"/>
    </sheetView>
  </sheetViews>
  <sheetFormatPr defaultColWidth="8.81640625" defaultRowHeight="14.5"/>
  <cols>
    <col min="1" max="1" width="63.453125" bestFit="1" customWidth="1"/>
  </cols>
  <sheetData>
    <row r="1" spans="1:10">
      <c r="A1" t="s">
        <v>15</v>
      </c>
      <c r="B1">
        <v>2023</v>
      </c>
      <c r="C1">
        <v>2024</v>
      </c>
      <c r="D1">
        <v>2025</v>
      </c>
      <c r="E1">
        <v>2026</v>
      </c>
      <c r="F1">
        <v>2027</v>
      </c>
      <c r="G1">
        <v>2028</v>
      </c>
      <c r="H1">
        <v>2029</v>
      </c>
      <c r="I1">
        <v>2030</v>
      </c>
      <c r="J1">
        <v>2031</v>
      </c>
    </row>
    <row r="2" spans="1:10" s="2" customFormat="1">
      <c r="A2" s="2" t="s">
        <v>355</v>
      </c>
      <c r="B2" s="167"/>
      <c r="C2" s="167"/>
      <c r="D2" s="167"/>
      <c r="E2" s="167"/>
      <c r="F2" s="167"/>
      <c r="G2" s="167"/>
      <c r="H2" s="167"/>
      <c r="I2" s="167"/>
      <c r="J2" s="167"/>
    </row>
    <row r="3" spans="1:10">
      <c r="A3" t="s">
        <v>4</v>
      </c>
      <c r="B3" s="56">
        <f>Input_CMS_5!M$29/100-$B$42</f>
        <v>5.4000000000000006E-2</v>
      </c>
      <c r="C3" s="56">
        <f>Input_CMS_5!N$29/100-$B$42</f>
        <v>5.2999999999999999E-2</v>
      </c>
      <c r="D3" s="56">
        <f>Input_CMS_5!O$29/100-$B$42</f>
        <v>5.5E-2</v>
      </c>
      <c r="E3" s="56">
        <f>Input_CMS_5!P$29/100-$B$42</f>
        <v>5.8000000000000003E-2</v>
      </c>
      <c r="F3" s="56">
        <f>Input_CMS_5!Q$29/100-$B$42</f>
        <v>5.4000000000000006E-2</v>
      </c>
      <c r="G3" s="56">
        <f>Input_CMS_5!R$29/100-$B$42</f>
        <v>5.4000000000000006E-2</v>
      </c>
      <c r="H3" s="56">
        <f>AVERAGE(Input_CMS_5!$P29:$R29)/100-$B$42</f>
        <v>5.5333333333333345E-2</v>
      </c>
      <c r="I3" s="56">
        <f>AVERAGE(Input_CMS_5!$P29:$R29)/100-$B$42</f>
        <v>5.5333333333333345E-2</v>
      </c>
      <c r="J3" s="56">
        <f>AVERAGE(Input_CMS_5!$P29:$R29)/100-$B$42</f>
        <v>5.5333333333333345E-2</v>
      </c>
    </row>
    <row r="4" spans="1:10">
      <c r="A4" t="s">
        <v>5</v>
      </c>
      <c r="B4" s="56">
        <f>Input_CMS_5!M$31/100-$B$42</f>
        <v>0.05</v>
      </c>
      <c r="C4" s="56">
        <f>Input_CMS_5!N$31/100-$B$42</f>
        <v>0.05</v>
      </c>
      <c r="D4" s="56">
        <f>Input_CMS_5!O$31/100-$B$42</f>
        <v>5.2999999999999999E-2</v>
      </c>
      <c r="E4" s="56">
        <f>Input_CMS_5!P$31/100-$B$42</f>
        <v>0.05</v>
      </c>
      <c r="F4" s="56">
        <f>Input_CMS_5!Q$31/100-$B$42</f>
        <v>5.0999999999999997E-2</v>
      </c>
      <c r="G4" s="56">
        <f>Input_CMS_5!R$31/100-$B$42</f>
        <v>5.0999999999999997E-2</v>
      </c>
      <c r="H4" s="56">
        <f>AVERAGE(Input_CMS_5!$P31:$R31)/100-$B$42</f>
        <v>5.0666666666666665E-2</v>
      </c>
      <c r="I4" s="56">
        <f>AVERAGE(Input_CMS_5!$P31:$R31)/100-$B$42</f>
        <v>5.0666666666666665E-2</v>
      </c>
      <c r="J4" s="56">
        <f>AVERAGE(Input_CMS_5!$P31:$R31)/100-$B$42</f>
        <v>5.0666666666666665E-2</v>
      </c>
    </row>
    <row r="5" spans="1:10">
      <c r="A5" t="s">
        <v>6</v>
      </c>
      <c r="B5" s="56">
        <f>Input_CMS_5!M$32/100-$B$42</f>
        <v>0.05</v>
      </c>
      <c r="C5" s="56">
        <f>Input_CMS_5!N$32/100-$B$42</f>
        <v>0.05</v>
      </c>
      <c r="D5" s="56">
        <f>Input_CMS_5!O$32/100-$B$42</f>
        <v>4.9000000000000009E-2</v>
      </c>
      <c r="E5" s="56">
        <f>Input_CMS_5!P$32/100-$B$42</f>
        <v>4.9000000000000009E-2</v>
      </c>
      <c r="F5" s="56">
        <f>Input_CMS_5!Q$32/100-$B$42</f>
        <v>0.05</v>
      </c>
      <c r="G5" s="56">
        <f>Input_CMS_5!R$32/100-$B$42</f>
        <v>4.9000000000000009E-2</v>
      </c>
      <c r="H5" s="56">
        <f>AVERAGE(Input_CMS_5!$P32:$R32)/100-$B$42</f>
        <v>4.933333333333334E-2</v>
      </c>
      <c r="I5" s="56">
        <f>AVERAGE(Input_CMS_5!$P32:$R32)/100-$B$42</f>
        <v>4.933333333333334E-2</v>
      </c>
      <c r="J5" s="56">
        <f>AVERAGE(Input_CMS_5!$P32:$R32)/100-$B$42</f>
        <v>4.933333333333334E-2</v>
      </c>
    </row>
    <row r="6" spans="1:10">
      <c r="A6" t="s">
        <v>7</v>
      </c>
      <c r="B6" s="56">
        <f>Input_CMS_5!M$33/100-$B$42</f>
        <v>3.9000000000000007E-2</v>
      </c>
      <c r="C6" s="56">
        <f>Input_CMS_5!N$33/100-$B$42</f>
        <v>3.9000000000000007E-2</v>
      </c>
      <c r="D6" s="56">
        <f>Input_CMS_5!O$33/100-$B$42</f>
        <v>3.9000000000000007E-2</v>
      </c>
      <c r="E6" s="56">
        <f>Input_CMS_5!P$33/100-$B$42</f>
        <v>3.9000000000000007E-2</v>
      </c>
      <c r="F6" s="56">
        <f>Input_CMS_5!Q$33/100-$B$42</f>
        <v>3.7999999999999999E-2</v>
      </c>
      <c r="G6" s="56">
        <f>Input_CMS_5!R$33/100-$B$42</f>
        <v>3.7999999999999999E-2</v>
      </c>
      <c r="H6" s="56">
        <f>AVERAGE(Input_CMS_5!$P33:$R33)/100-$B$42</f>
        <v>3.833333333333333E-2</v>
      </c>
      <c r="I6" s="56">
        <f>AVERAGE(Input_CMS_5!$P33:$R33)/100-$B$42</f>
        <v>3.833333333333333E-2</v>
      </c>
      <c r="J6" s="56">
        <f>AVERAGE(Input_CMS_5!$P33:$R33)/100-$B$42</f>
        <v>3.833333333333333E-2</v>
      </c>
    </row>
    <row r="7" spans="1:10">
      <c r="A7" t="s">
        <v>8</v>
      </c>
      <c r="B7" s="56">
        <f>Input_CMS_5!M$34/100-$B$42</f>
        <v>5.2000000000000005E-2</v>
      </c>
      <c r="C7" s="56">
        <f>Input_CMS_5!N$34/100-$B$42</f>
        <v>4.8000000000000001E-2</v>
      </c>
      <c r="D7" s="56">
        <f>Input_CMS_5!O$34/100-$B$42</f>
        <v>5.2000000000000005E-2</v>
      </c>
      <c r="E7" s="56">
        <f>Input_CMS_5!P$34/100-$B$42</f>
        <v>5.2000000000000005E-2</v>
      </c>
      <c r="F7" s="56">
        <f>Input_CMS_5!Q$34/100-$B$42</f>
        <v>5.2000000000000005E-2</v>
      </c>
      <c r="G7" s="56">
        <f>Input_CMS_5!R$34/100-$B$42</f>
        <v>5.0999999999999997E-2</v>
      </c>
      <c r="H7" s="56">
        <f>AVERAGE(Input_CMS_5!$P34:$R34)/100-$B$42</f>
        <v>5.1666666666666673E-2</v>
      </c>
      <c r="I7" s="56">
        <f>AVERAGE(Input_CMS_5!$P34:$R34)/100-$B$42</f>
        <v>5.1666666666666673E-2</v>
      </c>
      <c r="J7" s="56">
        <f>AVERAGE(Input_CMS_5!$P34:$R34)/100-$B$42</f>
        <v>5.1666666666666673E-2</v>
      </c>
    </row>
    <row r="8" spans="1:10">
      <c r="A8" t="s">
        <v>9</v>
      </c>
      <c r="B8" s="56">
        <f>Input_CMS_5!M$35/100-$B$42</f>
        <v>6.7000000000000004E-2</v>
      </c>
      <c r="C8" s="56">
        <f>Input_CMS_5!N$35/100-$B$42</f>
        <v>6.5000000000000002E-2</v>
      </c>
      <c r="D8" s="56">
        <f>Input_CMS_5!O$35/100-$B$42</f>
        <v>6.5999999999999989E-2</v>
      </c>
      <c r="E8" s="56">
        <f>Input_CMS_5!P$35/100-$B$42</f>
        <v>6.5000000000000002E-2</v>
      </c>
      <c r="F8" s="56">
        <f>Input_CMS_5!Q$35/100-$B$42</f>
        <v>6.7000000000000004E-2</v>
      </c>
      <c r="G8" s="56">
        <f>Input_CMS_5!R$35/100-$B$42</f>
        <v>6.7000000000000004E-2</v>
      </c>
      <c r="H8" s="56">
        <f>AVERAGE(Input_CMS_5!$P35:$R35)/100-$B$42</f>
        <v>6.6333333333333327E-2</v>
      </c>
      <c r="I8" s="56">
        <f>AVERAGE(Input_CMS_5!$P35:$R35)/100-$B$42</f>
        <v>6.6333333333333327E-2</v>
      </c>
      <c r="J8" s="56">
        <f>AVERAGE(Input_CMS_5!$P35:$R35)/100-$B$42</f>
        <v>6.6333333333333327E-2</v>
      </c>
    </row>
    <row r="9" spans="1:10">
      <c r="A9" t="s">
        <v>10</v>
      </c>
      <c r="B9" s="56">
        <f>Input_CMS_5!M$36/100-$B$42</f>
        <v>4.3000000000000003E-2</v>
      </c>
      <c r="C9" s="56">
        <f>Input_CMS_5!N$36/100-$B$42</f>
        <v>0.04</v>
      </c>
      <c r="D9" s="56">
        <f>Input_CMS_5!O$36/100-$B$42</f>
        <v>0.04</v>
      </c>
      <c r="E9" s="56">
        <f>Input_CMS_5!P$36/100-$B$42</f>
        <v>4.2000000000000003E-2</v>
      </c>
      <c r="F9" s="56">
        <f>Input_CMS_5!Q$36/100-$B$42</f>
        <v>4.4000000000000004E-2</v>
      </c>
      <c r="G9" s="56">
        <f>Input_CMS_5!R$36/100-$B$42</f>
        <v>4.7000000000000007E-2</v>
      </c>
      <c r="H9" s="56">
        <f>AVERAGE(Input_CMS_5!$P36:$R36)/100-$B$42</f>
        <v>4.4333333333333336E-2</v>
      </c>
      <c r="I9" s="56">
        <f>AVERAGE(Input_CMS_5!$P36:$R36)/100-$B$42</f>
        <v>4.4333333333333336E-2</v>
      </c>
      <c r="J9" s="56">
        <f>AVERAGE(Input_CMS_5!$P36:$R36)/100-$B$42</f>
        <v>4.4333333333333336E-2</v>
      </c>
    </row>
    <row r="10" spans="1:10">
      <c r="A10" t="s">
        <v>18</v>
      </c>
      <c r="B10" s="56">
        <f>Input_CMS_5!M$38/100-$B$42</f>
        <v>5.2999999999999999E-2</v>
      </c>
      <c r="C10" s="56">
        <f>Input_CMS_5!N$38/100-$B$42</f>
        <v>5.4000000000000006E-2</v>
      </c>
      <c r="D10" s="56">
        <f>Input_CMS_5!O$38/100-$B$42</f>
        <v>5.2999999999999999E-2</v>
      </c>
      <c r="E10" s="56">
        <f>Input_CMS_5!P$38/100-$B$42</f>
        <v>5.5E-2</v>
      </c>
      <c r="F10" s="56">
        <f>Input_CMS_5!Q$38/100-$B$42</f>
        <v>5.5E-2</v>
      </c>
      <c r="G10" s="56">
        <f>Input_CMS_5!R$38/100-$B$42</f>
        <v>5.4000000000000006E-2</v>
      </c>
      <c r="H10" s="56">
        <f>AVERAGE(Input_CMS_5!$P38:$R38)/100-$B$42</f>
        <v>5.4666666666666662E-2</v>
      </c>
      <c r="I10" s="56">
        <f>AVERAGE(Input_CMS_5!$P38:$R38)/100-$B$42</f>
        <v>5.4666666666666662E-2</v>
      </c>
      <c r="J10" s="56">
        <f>AVERAGE(Input_CMS_5!$P38:$R38)/100-$B$42</f>
        <v>5.4666666666666662E-2</v>
      </c>
    </row>
    <row r="11" spans="1:10">
      <c r="A11" t="s">
        <v>16</v>
      </c>
      <c r="B11" s="56">
        <f>Input_CMS_5!M$41/100-$B$42</f>
        <v>4.1000000000000002E-2</v>
      </c>
      <c r="C11" s="56">
        <f>Input_CMS_5!N$41/100-$B$42</f>
        <v>4.2000000000000003E-2</v>
      </c>
      <c r="D11" s="56">
        <f>Input_CMS_5!O$41/100-$B$42</f>
        <v>4.2000000000000003E-2</v>
      </c>
      <c r="E11" s="56">
        <f>Input_CMS_5!P$41/100-$B$42</f>
        <v>4.2000000000000003E-2</v>
      </c>
      <c r="F11" s="56">
        <f>Input_CMS_5!Q$41/100-$B$42</f>
        <v>4.3000000000000003E-2</v>
      </c>
      <c r="G11" s="56">
        <f>Input_CMS_5!R$41/100-$B$42</f>
        <v>4.3000000000000003E-2</v>
      </c>
      <c r="H11" s="56">
        <f>AVERAGE(Input_CMS_5!$P41:$R41)/100-$B$42</f>
        <v>4.2666666666666665E-2</v>
      </c>
      <c r="I11" s="56">
        <f>AVERAGE(Input_CMS_5!$P41:$R41)/100-$B$42</f>
        <v>4.2666666666666665E-2</v>
      </c>
      <c r="J11" s="56">
        <f>AVERAGE(Input_CMS_5!$P41:$R41)/100-$B$42</f>
        <v>4.2666666666666665E-2</v>
      </c>
    </row>
    <row r="12" spans="1:10">
      <c r="A12" t="s">
        <v>11</v>
      </c>
      <c r="B12" s="56">
        <f>Input_CMS_5!M$40/100-$B$42</f>
        <v>5.4000000000000006E-2</v>
      </c>
      <c r="C12" s="56">
        <f>Input_CMS_5!N$40/100-$B$42</f>
        <v>5.4000000000000006E-2</v>
      </c>
      <c r="D12" s="56">
        <f>Input_CMS_5!O$40/100-$B$42</f>
        <v>5.4000000000000006E-2</v>
      </c>
      <c r="E12" s="56">
        <f>Input_CMS_5!P$40/100-$B$42</f>
        <v>5.4000000000000006E-2</v>
      </c>
      <c r="F12" s="56">
        <f>Input_CMS_5!Q$40/100-$B$42</f>
        <v>5.6000000000000001E-2</v>
      </c>
      <c r="G12" s="56">
        <f>Input_CMS_5!R$40/100-$B$42</f>
        <v>5.0999999999999997E-2</v>
      </c>
      <c r="H12" s="56">
        <f>AVERAGE(Input_CMS_5!$P40:$R40)/100-$B$42</f>
        <v>5.3666666666666675E-2</v>
      </c>
      <c r="I12" s="56">
        <f>AVERAGE(Input_CMS_5!$P40:$R40)/100-$B$42</f>
        <v>5.3666666666666675E-2</v>
      </c>
      <c r="J12" s="56">
        <f>AVERAGE(Input_CMS_5!$P40:$R40)/100-$B$42</f>
        <v>5.3666666666666675E-2</v>
      </c>
    </row>
    <row r="13" spans="1:10">
      <c r="A13" t="s">
        <v>13</v>
      </c>
      <c r="B13" s="56">
        <f>Input_CMS_5!M$44/100</f>
        <v>3.5000000000000003E-2</v>
      </c>
      <c r="C13" s="56">
        <f>Input_CMS_5!N$44/100</f>
        <v>3.3000000000000002E-2</v>
      </c>
      <c r="D13" s="56">
        <f>Input_CMS_5!O$44/100</f>
        <v>3.7999999999999999E-2</v>
      </c>
      <c r="E13" s="56">
        <f>Input_CMS_5!P$44/100</f>
        <v>0.04</v>
      </c>
      <c r="F13" s="56">
        <f>Input_CMS_5!Q$44/100</f>
        <v>3.7000000000000005E-2</v>
      </c>
      <c r="G13" s="56">
        <f>Input_CMS_5!R$44/100</f>
        <v>3.5000000000000003E-2</v>
      </c>
      <c r="H13" s="56">
        <f>AVERAGE(Input_CMS_5!$P44:$R44)/100</f>
        <v>3.7333333333333329E-2</v>
      </c>
      <c r="I13" s="56">
        <f>AVERAGE(Input_CMS_5!$P44:$R44)/100</f>
        <v>3.7333333333333329E-2</v>
      </c>
      <c r="J13" s="56">
        <f>AVERAGE(Input_CMS_5!$P44:$R44)/100</f>
        <v>3.7333333333333329E-2</v>
      </c>
    </row>
    <row r="14" spans="1:10">
      <c r="A14" t="s">
        <v>71</v>
      </c>
      <c r="B14" s="56">
        <f>Input_CMS_5!M$45/100-$B$42</f>
        <v>4.7000000000000007E-2</v>
      </c>
      <c r="C14" s="56">
        <f>Input_CMS_5!N$45/100-$B$42</f>
        <v>4.7000000000000007E-2</v>
      </c>
      <c r="D14" s="56">
        <f>Input_CMS_5!O$45/100-$B$42</f>
        <v>4.8000000000000001E-2</v>
      </c>
      <c r="E14" s="56">
        <f>Input_CMS_5!P$45/100-$B$42</f>
        <v>4.8000000000000001E-2</v>
      </c>
      <c r="F14" s="56">
        <f>Input_CMS_5!Q$45/100-$B$42</f>
        <v>4.8000000000000001E-2</v>
      </c>
      <c r="G14" s="56">
        <f>Input_CMS_5!R$45/100-$B$42</f>
        <v>4.7000000000000007E-2</v>
      </c>
      <c r="H14" s="56">
        <f>AVERAGE(Input_CMS_5!$P$45:$R$45)/100-$B$42</f>
        <v>4.766666666666667E-2</v>
      </c>
      <c r="I14" s="56">
        <f>AVERAGE(Input_CMS_5!$P$45:$R$45)/100-$B$42</f>
        <v>4.766666666666667E-2</v>
      </c>
      <c r="J14" s="56">
        <f>AVERAGE(Input_CMS_5!$P$45:$R$45)/100-$B$42</f>
        <v>4.766666666666667E-2</v>
      </c>
    </row>
    <row r="15" spans="1:10" s="2" customFormat="1">
      <c r="A15" s="2" t="s">
        <v>356</v>
      </c>
    </row>
    <row r="16" spans="1:10">
      <c r="A16" t="s">
        <v>4</v>
      </c>
      <c r="B16" s="56">
        <f>Input_CMS_6!M23/100</f>
        <v>4.4000000000000004E-2</v>
      </c>
      <c r="C16" s="56">
        <f>Input_CMS_6!N23/100</f>
        <v>4.5999999999999999E-2</v>
      </c>
      <c r="D16" s="56">
        <f>Input_CMS_6!O23/100</f>
        <v>4.4999999999999998E-2</v>
      </c>
      <c r="E16" s="56">
        <f>Input_CMS_6!P23/100</f>
        <v>4.4000000000000004E-2</v>
      </c>
      <c r="F16" s="56">
        <f>Input_CMS_6!Q23/100</f>
        <v>4.4000000000000004E-2</v>
      </c>
      <c r="G16" s="56">
        <f>Input_CMS_6!R23/100</f>
        <v>4.4000000000000004E-2</v>
      </c>
      <c r="H16" s="56">
        <f>AVERAGE(Input_CMS_6!P23:R24)/100</f>
        <v>4.4999999999999998E-2</v>
      </c>
      <c r="I16" s="56">
        <f>AVERAGE(Input_CMS_6!P23:R24)/100</f>
        <v>4.4999999999999998E-2</v>
      </c>
      <c r="J16" s="56">
        <f>AVERAGE(Input_CMS_6!P23:R24)/100</f>
        <v>4.4999999999999998E-2</v>
      </c>
    </row>
    <row r="17" spans="1:19">
      <c r="A17" t="s">
        <v>5</v>
      </c>
      <c r="B17" s="56">
        <f>B$16</f>
        <v>4.4000000000000004E-2</v>
      </c>
      <c r="C17" s="56">
        <f t="shared" ref="C17:J25" si="0">C$16</f>
        <v>4.5999999999999999E-2</v>
      </c>
      <c r="D17" s="56">
        <f t="shared" si="0"/>
        <v>4.4999999999999998E-2</v>
      </c>
      <c r="E17" s="56">
        <f t="shared" si="0"/>
        <v>4.4000000000000004E-2</v>
      </c>
      <c r="F17" s="56">
        <f t="shared" si="0"/>
        <v>4.4000000000000004E-2</v>
      </c>
      <c r="G17" s="56">
        <f t="shared" si="0"/>
        <v>4.4000000000000004E-2</v>
      </c>
      <c r="H17" s="56">
        <f t="shared" si="0"/>
        <v>4.4999999999999998E-2</v>
      </c>
      <c r="I17" s="56">
        <f t="shared" si="0"/>
        <v>4.4999999999999998E-2</v>
      </c>
      <c r="J17" s="56">
        <f t="shared" si="0"/>
        <v>4.4999999999999998E-2</v>
      </c>
    </row>
    <row r="18" spans="1:19">
      <c r="A18" t="s">
        <v>6</v>
      </c>
      <c r="B18" s="56">
        <f t="shared" ref="B18:B25" si="1">B$16</f>
        <v>4.4000000000000004E-2</v>
      </c>
      <c r="C18" s="56">
        <f t="shared" si="0"/>
        <v>4.5999999999999999E-2</v>
      </c>
      <c r="D18" s="56">
        <f t="shared" si="0"/>
        <v>4.4999999999999998E-2</v>
      </c>
      <c r="E18" s="56">
        <f t="shared" si="0"/>
        <v>4.4000000000000004E-2</v>
      </c>
      <c r="F18" s="56">
        <f t="shared" si="0"/>
        <v>4.4000000000000004E-2</v>
      </c>
      <c r="G18" s="56">
        <f t="shared" si="0"/>
        <v>4.4000000000000004E-2</v>
      </c>
      <c r="H18" s="56">
        <f t="shared" si="0"/>
        <v>4.4999999999999998E-2</v>
      </c>
      <c r="I18" s="56">
        <f t="shared" si="0"/>
        <v>4.4999999999999998E-2</v>
      </c>
      <c r="J18" s="56">
        <f t="shared" si="0"/>
        <v>4.4999999999999998E-2</v>
      </c>
    </row>
    <row r="19" spans="1:19">
      <c r="A19" t="s">
        <v>7</v>
      </c>
      <c r="B19" s="56">
        <f t="shared" si="1"/>
        <v>4.4000000000000004E-2</v>
      </c>
      <c r="C19" s="56">
        <f t="shared" si="0"/>
        <v>4.5999999999999999E-2</v>
      </c>
      <c r="D19" s="56">
        <f t="shared" si="0"/>
        <v>4.4999999999999998E-2</v>
      </c>
      <c r="E19" s="56">
        <f t="shared" si="0"/>
        <v>4.4000000000000004E-2</v>
      </c>
      <c r="F19" s="56">
        <f t="shared" si="0"/>
        <v>4.4000000000000004E-2</v>
      </c>
      <c r="G19" s="56">
        <f t="shared" si="0"/>
        <v>4.4000000000000004E-2</v>
      </c>
      <c r="H19" s="56">
        <f t="shared" si="0"/>
        <v>4.4999999999999998E-2</v>
      </c>
      <c r="I19" s="56">
        <f t="shared" si="0"/>
        <v>4.4999999999999998E-2</v>
      </c>
      <c r="J19" s="56">
        <f t="shared" si="0"/>
        <v>4.4999999999999998E-2</v>
      </c>
    </row>
    <row r="20" spans="1:19">
      <c r="A20" t="s">
        <v>8</v>
      </c>
      <c r="B20" s="56">
        <f t="shared" si="1"/>
        <v>4.4000000000000004E-2</v>
      </c>
      <c r="C20" s="56">
        <f t="shared" si="0"/>
        <v>4.5999999999999999E-2</v>
      </c>
      <c r="D20" s="56">
        <f t="shared" si="0"/>
        <v>4.4999999999999998E-2</v>
      </c>
      <c r="E20" s="56">
        <f t="shared" si="0"/>
        <v>4.4000000000000004E-2</v>
      </c>
      <c r="F20" s="56">
        <f t="shared" si="0"/>
        <v>4.4000000000000004E-2</v>
      </c>
      <c r="G20" s="56">
        <f t="shared" si="0"/>
        <v>4.4000000000000004E-2</v>
      </c>
      <c r="H20" s="56">
        <f t="shared" si="0"/>
        <v>4.4999999999999998E-2</v>
      </c>
      <c r="I20" s="56">
        <f t="shared" si="0"/>
        <v>4.4999999999999998E-2</v>
      </c>
      <c r="J20" s="56">
        <f t="shared" si="0"/>
        <v>4.4999999999999998E-2</v>
      </c>
    </row>
    <row r="21" spans="1:19">
      <c r="A21" t="s">
        <v>9</v>
      </c>
      <c r="B21" s="56">
        <f t="shared" si="1"/>
        <v>4.4000000000000004E-2</v>
      </c>
      <c r="C21" s="56">
        <f t="shared" si="0"/>
        <v>4.5999999999999999E-2</v>
      </c>
      <c r="D21" s="56">
        <f t="shared" si="0"/>
        <v>4.4999999999999998E-2</v>
      </c>
      <c r="E21" s="56">
        <f t="shared" si="0"/>
        <v>4.4000000000000004E-2</v>
      </c>
      <c r="F21" s="56">
        <f t="shared" si="0"/>
        <v>4.4000000000000004E-2</v>
      </c>
      <c r="G21" s="56">
        <f t="shared" si="0"/>
        <v>4.4000000000000004E-2</v>
      </c>
      <c r="H21" s="56">
        <f t="shared" si="0"/>
        <v>4.4999999999999998E-2</v>
      </c>
      <c r="I21" s="56">
        <f t="shared" si="0"/>
        <v>4.4999999999999998E-2</v>
      </c>
      <c r="J21" s="56">
        <f t="shared" si="0"/>
        <v>4.4999999999999998E-2</v>
      </c>
    </row>
    <row r="22" spans="1:19">
      <c r="A22" t="s">
        <v>10</v>
      </c>
      <c r="B22" s="56">
        <f t="shared" si="1"/>
        <v>4.4000000000000004E-2</v>
      </c>
      <c r="C22" s="56">
        <f t="shared" si="0"/>
        <v>4.5999999999999999E-2</v>
      </c>
      <c r="D22" s="56">
        <f t="shared" si="0"/>
        <v>4.4999999999999998E-2</v>
      </c>
      <c r="E22" s="56">
        <f t="shared" si="0"/>
        <v>4.4000000000000004E-2</v>
      </c>
      <c r="F22" s="56">
        <f t="shared" si="0"/>
        <v>4.4000000000000004E-2</v>
      </c>
      <c r="G22" s="56">
        <f t="shared" si="0"/>
        <v>4.4000000000000004E-2</v>
      </c>
      <c r="H22" s="56">
        <f t="shared" si="0"/>
        <v>4.4999999999999998E-2</v>
      </c>
      <c r="I22" s="56">
        <f t="shared" si="0"/>
        <v>4.4999999999999998E-2</v>
      </c>
      <c r="J22" s="56">
        <f t="shared" si="0"/>
        <v>4.4999999999999998E-2</v>
      </c>
    </row>
    <row r="23" spans="1:19">
      <c r="A23" t="s">
        <v>18</v>
      </c>
      <c r="B23" s="56">
        <f t="shared" si="1"/>
        <v>4.4000000000000004E-2</v>
      </c>
      <c r="C23" s="56">
        <f t="shared" si="0"/>
        <v>4.5999999999999999E-2</v>
      </c>
      <c r="D23" s="56">
        <f t="shared" si="0"/>
        <v>4.4999999999999998E-2</v>
      </c>
      <c r="E23" s="56">
        <f t="shared" si="0"/>
        <v>4.4000000000000004E-2</v>
      </c>
      <c r="F23" s="56">
        <f t="shared" si="0"/>
        <v>4.4000000000000004E-2</v>
      </c>
      <c r="G23" s="56">
        <f t="shared" si="0"/>
        <v>4.4000000000000004E-2</v>
      </c>
      <c r="H23" s="56">
        <f t="shared" si="0"/>
        <v>4.4999999999999998E-2</v>
      </c>
      <c r="I23" s="56">
        <f t="shared" si="0"/>
        <v>4.4999999999999998E-2</v>
      </c>
      <c r="J23" s="56">
        <f t="shared" si="0"/>
        <v>4.4999999999999998E-2</v>
      </c>
    </row>
    <row r="24" spans="1:19">
      <c r="A24" t="s">
        <v>16</v>
      </c>
      <c r="B24" s="56">
        <f t="shared" si="1"/>
        <v>4.4000000000000004E-2</v>
      </c>
      <c r="C24" s="56">
        <f t="shared" si="0"/>
        <v>4.5999999999999999E-2</v>
      </c>
      <c r="D24" s="56">
        <f t="shared" si="0"/>
        <v>4.4999999999999998E-2</v>
      </c>
      <c r="E24" s="56">
        <f t="shared" si="0"/>
        <v>4.4000000000000004E-2</v>
      </c>
      <c r="F24" s="56">
        <f t="shared" si="0"/>
        <v>4.4000000000000004E-2</v>
      </c>
      <c r="G24" s="56">
        <f t="shared" si="0"/>
        <v>4.4000000000000004E-2</v>
      </c>
      <c r="H24" s="56">
        <f t="shared" si="0"/>
        <v>4.4999999999999998E-2</v>
      </c>
      <c r="I24" s="56">
        <f t="shared" si="0"/>
        <v>4.4999999999999998E-2</v>
      </c>
      <c r="J24" s="56">
        <f t="shared" si="0"/>
        <v>4.4999999999999998E-2</v>
      </c>
    </row>
    <row r="25" spans="1:19">
      <c r="A25" t="s">
        <v>11</v>
      </c>
      <c r="B25" s="56">
        <f t="shared" si="1"/>
        <v>4.4000000000000004E-2</v>
      </c>
      <c r="C25" s="56">
        <f t="shared" si="0"/>
        <v>4.5999999999999999E-2</v>
      </c>
      <c r="D25" s="56">
        <f t="shared" si="0"/>
        <v>4.4999999999999998E-2</v>
      </c>
      <c r="E25" s="56">
        <f t="shared" si="0"/>
        <v>4.4000000000000004E-2</v>
      </c>
      <c r="F25" s="56">
        <f t="shared" si="0"/>
        <v>4.4000000000000004E-2</v>
      </c>
      <c r="G25" s="56">
        <f t="shared" si="0"/>
        <v>4.4000000000000004E-2</v>
      </c>
      <c r="H25" s="56">
        <f t="shared" si="0"/>
        <v>4.4999999999999998E-2</v>
      </c>
      <c r="I25" s="56">
        <f t="shared" si="0"/>
        <v>4.4999999999999998E-2</v>
      </c>
      <c r="J25" s="56">
        <f t="shared" si="0"/>
        <v>4.4999999999999998E-2</v>
      </c>
    </row>
    <row r="26" spans="1:19">
      <c r="A26" t="s">
        <v>13</v>
      </c>
      <c r="B26" s="56">
        <f>Input_CMS_5!M$44/100</f>
        <v>3.5000000000000003E-2</v>
      </c>
      <c r="C26" s="56">
        <f>Input_CMS_5!N$44/100</f>
        <v>3.3000000000000002E-2</v>
      </c>
      <c r="D26" s="56">
        <f>Input_CMS_5!O$44/100</f>
        <v>3.7999999999999999E-2</v>
      </c>
      <c r="E26" s="56">
        <f>Input_CMS_5!P$44/100</f>
        <v>0.04</v>
      </c>
      <c r="F26" s="56">
        <f>Input_CMS_5!Q$44/100</f>
        <v>3.7000000000000005E-2</v>
      </c>
      <c r="G26" s="56">
        <f>Input_CMS_5!R$44/100</f>
        <v>3.5000000000000003E-2</v>
      </c>
      <c r="H26" s="56">
        <f>AVERAGE(Input_CMS_5!$P44:$R44)/100</f>
        <v>3.7333333333333329E-2</v>
      </c>
      <c r="I26" s="56">
        <f>AVERAGE(Input_CMS_5!$P44:$R44)/100</f>
        <v>3.7333333333333329E-2</v>
      </c>
      <c r="J26" s="56">
        <f>AVERAGE(Input_CMS_5!$P44:$R44)/100</f>
        <v>3.7333333333333329E-2</v>
      </c>
    </row>
    <row r="27" spans="1:19">
      <c r="A27" t="s">
        <v>71</v>
      </c>
      <c r="B27" s="56">
        <f t="shared" ref="B27:J27" si="2">B16</f>
        <v>4.4000000000000004E-2</v>
      </c>
      <c r="C27" s="56">
        <f t="shared" si="2"/>
        <v>4.5999999999999999E-2</v>
      </c>
      <c r="D27" s="56">
        <f t="shared" si="2"/>
        <v>4.4999999999999998E-2</v>
      </c>
      <c r="E27" s="56">
        <f t="shared" si="2"/>
        <v>4.4000000000000004E-2</v>
      </c>
      <c r="F27" s="56">
        <f t="shared" si="2"/>
        <v>4.4000000000000004E-2</v>
      </c>
      <c r="G27" s="56">
        <f t="shared" si="2"/>
        <v>4.4000000000000004E-2</v>
      </c>
      <c r="H27" s="56">
        <f t="shared" si="2"/>
        <v>4.4999999999999998E-2</v>
      </c>
      <c r="I27" s="56">
        <f t="shared" si="2"/>
        <v>4.4999999999999998E-2</v>
      </c>
      <c r="J27" s="56">
        <f t="shared" si="2"/>
        <v>4.4999999999999998E-2</v>
      </c>
    </row>
    <row r="28" spans="1:19" s="271" customFormat="1">
      <c r="A28" s="271" t="s">
        <v>277</v>
      </c>
    </row>
    <row r="29" spans="1:19">
      <c r="A29" t="s">
        <v>4</v>
      </c>
      <c r="B29" s="56">
        <f>Input_CMS_5!M$29/100</f>
        <v>5.9000000000000004E-2</v>
      </c>
      <c r="C29" s="56">
        <f>Input_CMS_5!N$29/100</f>
        <v>5.7999999999999996E-2</v>
      </c>
      <c r="D29" s="56">
        <f>Input_CMS_5!O$29/100</f>
        <v>0.06</v>
      </c>
      <c r="E29" s="56">
        <f>Input_CMS_5!P$29/100</f>
        <v>6.3E-2</v>
      </c>
      <c r="F29" s="56">
        <f>Input_CMS_5!Q$29/100</f>
        <v>5.9000000000000004E-2</v>
      </c>
      <c r="G29" s="56">
        <f>Input_CMS_5!R$29/100</f>
        <v>5.9000000000000004E-2</v>
      </c>
      <c r="H29" s="56">
        <f>AVERAGE(Input_CMS_5!$P29:$R29)/100</f>
        <v>6.0333333333333343E-2</v>
      </c>
      <c r="I29" s="56">
        <f>AVERAGE(Input_CMS_5!$P29:$R29)/100</f>
        <v>6.0333333333333343E-2</v>
      </c>
      <c r="J29" s="56">
        <f>AVERAGE(Input_CMS_5!$P29:$R29)/100</f>
        <v>6.0333333333333343E-2</v>
      </c>
      <c r="K29" s="166"/>
      <c r="L29" s="166"/>
      <c r="M29" s="166"/>
      <c r="N29" s="166"/>
      <c r="O29" s="166"/>
      <c r="P29" s="166"/>
      <c r="Q29" s="166"/>
      <c r="R29" s="166"/>
      <c r="S29" s="166"/>
    </row>
    <row r="30" spans="1:19">
      <c r="A30" t="s">
        <v>5</v>
      </c>
      <c r="B30" s="56">
        <f>Input_CMS_5!M$31/100</f>
        <v>5.5E-2</v>
      </c>
      <c r="C30" s="56">
        <f>Input_CMS_5!N$31/100</f>
        <v>5.5E-2</v>
      </c>
      <c r="D30" s="56">
        <f>Input_CMS_5!O$31/100</f>
        <v>5.7999999999999996E-2</v>
      </c>
      <c r="E30" s="56">
        <f>Input_CMS_5!P$31/100</f>
        <v>5.5E-2</v>
      </c>
      <c r="F30" s="56">
        <f>Input_CMS_5!Q$31/100</f>
        <v>5.5999999999999994E-2</v>
      </c>
      <c r="G30" s="56">
        <f>Input_CMS_5!R$31/100</f>
        <v>5.5999999999999994E-2</v>
      </c>
      <c r="H30" s="56">
        <f>AVERAGE(Input_CMS_5!$P31:$R31)/100</f>
        <v>5.5666666666666663E-2</v>
      </c>
      <c r="I30" s="56">
        <f>AVERAGE(Input_CMS_5!$P31:$R31)/100</f>
        <v>5.5666666666666663E-2</v>
      </c>
      <c r="J30" s="56">
        <f>AVERAGE(Input_CMS_5!$P31:$R31)/100</f>
        <v>5.5666666666666663E-2</v>
      </c>
      <c r="K30" s="166"/>
      <c r="L30" s="166"/>
      <c r="M30" s="166"/>
      <c r="N30" s="166"/>
      <c r="O30" s="166"/>
      <c r="P30" s="166"/>
      <c r="Q30" s="166"/>
      <c r="R30" s="166"/>
      <c r="S30" s="166"/>
    </row>
    <row r="31" spans="1:19">
      <c r="A31" t="s">
        <v>6</v>
      </c>
      <c r="B31" s="56">
        <f>Input_CMS_5!M$32/100</f>
        <v>5.5E-2</v>
      </c>
      <c r="C31" s="56">
        <f>Input_CMS_5!N$32/100</f>
        <v>5.5E-2</v>
      </c>
      <c r="D31" s="56">
        <f>Input_CMS_5!O$32/100</f>
        <v>5.4000000000000006E-2</v>
      </c>
      <c r="E31" s="56">
        <f>Input_CMS_5!P$32/100</f>
        <v>5.4000000000000006E-2</v>
      </c>
      <c r="F31" s="56">
        <f>Input_CMS_5!Q$32/100</f>
        <v>5.5E-2</v>
      </c>
      <c r="G31" s="56">
        <f>Input_CMS_5!R$32/100</f>
        <v>5.4000000000000006E-2</v>
      </c>
      <c r="H31" s="56">
        <f>AVERAGE(Input_CMS_5!$P32:$R32)/100</f>
        <v>5.4333333333333338E-2</v>
      </c>
      <c r="I31" s="56">
        <f>AVERAGE(Input_CMS_5!$P32:$R32)/100</f>
        <v>5.4333333333333338E-2</v>
      </c>
      <c r="J31" s="56">
        <f>AVERAGE(Input_CMS_5!$P32:$R32)/100</f>
        <v>5.4333333333333338E-2</v>
      </c>
      <c r="K31" s="166"/>
      <c r="L31" s="166"/>
      <c r="M31" s="166"/>
      <c r="N31" s="166"/>
      <c r="O31" s="166"/>
      <c r="P31" s="166"/>
      <c r="Q31" s="166"/>
      <c r="R31" s="166"/>
      <c r="S31" s="166"/>
    </row>
    <row r="32" spans="1:19">
      <c r="A32" t="s">
        <v>7</v>
      </c>
      <c r="B32" s="56">
        <f>Input_CMS_5!M$33/100</f>
        <v>4.4000000000000004E-2</v>
      </c>
      <c r="C32" s="56">
        <f>Input_CMS_5!N$33/100</f>
        <v>4.4000000000000004E-2</v>
      </c>
      <c r="D32" s="56">
        <f>Input_CMS_5!O$33/100</f>
        <v>4.4000000000000004E-2</v>
      </c>
      <c r="E32" s="56">
        <f>Input_CMS_5!P$33/100</f>
        <v>4.4000000000000004E-2</v>
      </c>
      <c r="F32" s="56">
        <f>Input_CMS_5!Q$33/100</f>
        <v>4.2999999999999997E-2</v>
      </c>
      <c r="G32" s="56">
        <f>Input_CMS_5!R$33/100</f>
        <v>4.2999999999999997E-2</v>
      </c>
      <c r="H32" s="56">
        <f>AVERAGE(Input_CMS_5!$P33:$R33)/100</f>
        <v>4.3333333333333328E-2</v>
      </c>
      <c r="I32" s="56">
        <f>AVERAGE(Input_CMS_5!$P33:$R33)/100</f>
        <v>4.3333333333333328E-2</v>
      </c>
      <c r="J32" s="56">
        <f>AVERAGE(Input_CMS_5!$P33:$R33)/100</f>
        <v>4.3333333333333328E-2</v>
      </c>
      <c r="K32" s="166"/>
      <c r="L32" s="166"/>
      <c r="M32" s="166"/>
      <c r="N32" s="166"/>
      <c r="O32" s="166"/>
      <c r="P32" s="166"/>
      <c r="Q32" s="166"/>
      <c r="R32" s="166"/>
      <c r="S32" s="166"/>
    </row>
    <row r="33" spans="1:19">
      <c r="A33" t="s">
        <v>8</v>
      </c>
      <c r="B33" s="56">
        <f>Input_CMS_5!M$34/100</f>
        <v>5.7000000000000002E-2</v>
      </c>
      <c r="C33" s="56">
        <f>Input_CMS_5!N$34/100</f>
        <v>5.2999999999999999E-2</v>
      </c>
      <c r="D33" s="56">
        <f>Input_CMS_5!O$34/100</f>
        <v>5.7000000000000002E-2</v>
      </c>
      <c r="E33" s="56">
        <f>Input_CMS_5!P$34/100</f>
        <v>5.7000000000000002E-2</v>
      </c>
      <c r="F33" s="56">
        <f>Input_CMS_5!Q$34/100</f>
        <v>5.7000000000000002E-2</v>
      </c>
      <c r="G33" s="56">
        <f>Input_CMS_5!R$34/100</f>
        <v>5.5999999999999994E-2</v>
      </c>
      <c r="H33" s="56">
        <f>AVERAGE(Input_CMS_5!$P34:$R34)/100</f>
        <v>5.6666666666666671E-2</v>
      </c>
      <c r="I33" s="56">
        <f>AVERAGE(Input_CMS_5!$P34:$R34)/100</f>
        <v>5.6666666666666671E-2</v>
      </c>
      <c r="J33" s="56">
        <f>AVERAGE(Input_CMS_5!$P34:$R34)/100</f>
        <v>5.6666666666666671E-2</v>
      </c>
      <c r="K33" s="166"/>
      <c r="L33" s="166"/>
      <c r="M33" s="166"/>
      <c r="N33" s="166"/>
      <c r="O33" s="166"/>
      <c r="P33" s="166"/>
      <c r="Q33" s="166"/>
      <c r="R33" s="166"/>
      <c r="S33" s="166"/>
    </row>
    <row r="34" spans="1:19">
      <c r="A34" t="s">
        <v>9</v>
      </c>
      <c r="B34" s="56">
        <f>Input_CMS_5!M$35/100</f>
        <v>7.2000000000000008E-2</v>
      </c>
      <c r="C34" s="56">
        <f>Input_CMS_5!N$35/100</f>
        <v>7.0000000000000007E-2</v>
      </c>
      <c r="D34" s="56">
        <f>Input_CMS_5!O$35/100</f>
        <v>7.0999999999999994E-2</v>
      </c>
      <c r="E34" s="56">
        <f>Input_CMS_5!P$35/100</f>
        <v>7.0000000000000007E-2</v>
      </c>
      <c r="F34" s="56">
        <f>Input_CMS_5!Q$35/100</f>
        <v>7.2000000000000008E-2</v>
      </c>
      <c r="G34" s="56">
        <f>Input_CMS_5!R$35/100</f>
        <v>7.2000000000000008E-2</v>
      </c>
      <c r="H34" s="56">
        <f>AVERAGE(Input_CMS_5!$P35:$R35)/100</f>
        <v>7.1333333333333332E-2</v>
      </c>
      <c r="I34" s="56">
        <f>AVERAGE(Input_CMS_5!$P35:$R35)/100</f>
        <v>7.1333333333333332E-2</v>
      </c>
      <c r="J34" s="56">
        <f>AVERAGE(Input_CMS_5!$P35:$R35)/100</f>
        <v>7.1333333333333332E-2</v>
      </c>
      <c r="K34" s="166"/>
      <c r="L34" s="166"/>
      <c r="M34" s="166"/>
      <c r="N34" s="166"/>
      <c r="O34" s="166"/>
      <c r="P34" s="166"/>
      <c r="Q34" s="166"/>
      <c r="R34" s="166"/>
      <c r="S34" s="166"/>
    </row>
    <row r="35" spans="1:19">
      <c r="A35" t="s">
        <v>10</v>
      </c>
      <c r="B35" s="56">
        <f>Input_CMS_5!M$36/100</f>
        <v>4.8000000000000001E-2</v>
      </c>
      <c r="C35" s="56">
        <f>Input_CMS_5!N$36/100</f>
        <v>4.4999999999999998E-2</v>
      </c>
      <c r="D35" s="56">
        <f>Input_CMS_5!O$36/100</f>
        <v>4.4999999999999998E-2</v>
      </c>
      <c r="E35" s="56">
        <f>Input_CMS_5!P$36/100</f>
        <v>4.7E-2</v>
      </c>
      <c r="F35" s="56">
        <f>Input_CMS_5!Q$36/100</f>
        <v>4.9000000000000002E-2</v>
      </c>
      <c r="G35" s="56">
        <f>Input_CMS_5!R$36/100</f>
        <v>5.2000000000000005E-2</v>
      </c>
      <c r="H35" s="56">
        <f>AVERAGE(Input_CMS_5!$P36:$R36)/100</f>
        <v>4.9333333333333333E-2</v>
      </c>
      <c r="I35" s="56">
        <f>AVERAGE(Input_CMS_5!$P36:$R36)/100</f>
        <v>4.9333333333333333E-2</v>
      </c>
      <c r="J35" s="56">
        <f>AVERAGE(Input_CMS_5!$P36:$R36)/100</f>
        <v>4.9333333333333333E-2</v>
      </c>
      <c r="K35" s="166"/>
      <c r="L35" s="166"/>
      <c r="M35" s="166"/>
      <c r="N35" s="166"/>
      <c r="O35" s="166"/>
      <c r="P35" s="166"/>
      <c r="Q35" s="166"/>
      <c r="R35" s="166"/>
      <c r="S35" s="166"/>
    </row>
    <row r="36" spans="1:19">
      <c r="A36" t="s">
        <v>18</v>
      </c>
      <c r="B36" s="56">
        <f>Input_CMS_5!M$38/100</f>
        <v>5.7999999999999996E-2</v>
      </c>
      <c r="C36" s="56">
        <f>Input_CMS_5!N$38/100</f>
        <v>5.9000000000000004E-2</v>
      </c>
      <c r="D36" s="56">
        <f>Input_CMS_5!O$38/100</f>
        <v>5.7999999999999996E-2</v>
      </c>
      <c r="E36" s="56">
        <f>Input_CMS_5!P$38/100</f>
        <v>0.06</v>
      </c>
      <c r="F36" s="56">
        <f>Input_CMS_5!Q$38/100</f>
        <v>0.06</v>
      </c>
      <c r="G36" s="56">
        <f>Input_CMS_5!R$38/100</f>
        <v>5.9000000000000004E-2</v>
      </c>
      <c r="H36" s="56">
        <f>AVERAGE(Input_CMS_5!$P38:$R38)/100</f>
        <v>5.966666666666666E-2</v>
      </c>
      <c r="I36" s="56">
        <f>AVERAGE(Input_CMS_5!$P38:$R38)/100</f>
        <v>5.966666666666666E-2</v>
      </c>
      <c r="J36" s="56">
        <f>AVERAGE(Input_CMS_5!$P38:$R38)/100</f>
        <v>5.966666666666666E-2</v>
      </c>
      <c r="K36" s="166"/>
      <c r="L36" s="166"/>
      <c r="M36" s="166"/>
      <c r="N36" s="166"/>
      <c r="O36" s="166"/>
      <c r="P36" s="166"/>
      <c r="Q36" s="166"/>
      <c r="R36" s="166"/>
      <c r="S36" s="166"/>
    </row>
    <row r="37" spans="1:19">
      <c r="A37" t="s">
        <v>16</v>
      </c>
      <c r="B37" s="56">
        <f>Input_CMS_5!M$41/100</f>
        <v>4.5999999999999999E-2</v>
      </c>
      <c r="C37" s="56">
        <f>Input_CMS_5!N$41/100</f>
        <v>4.7E-2</v>
      </c>
      <c r="D37" s="56">
        <f>Input_CMS_5!O$41/100</f>
        <v>4.7E-2</v>
      </c>
      <c r="E37" s="56">
        <f>Input_CMS_5!P$41/100</f>
        <v>4.7E-2</v>
      </c>
      <c r="F37" s="56">
        <f>Input_CMS_5!Q$41/100</f>
        <v>4.8000000000000001E-2</v>
      </c>
      <c r="G37" s="56">
        <f>Input_CMS_5!R$41/100</f>
        <v>4.8000000000000001E-2</v>
      </c>
      <c r="H37" s="56">
        <f>AVERAGE(Input_CMS_5!$P41:$R41)/100</f>
        <v>4.7666666666666663E-2</v>
      </c>
      <c r="I37" s="56">
        <f>AVERAGE(Input_CMS_5!$P41:$R41)/100</f>
        <v>4.7666666666666663E-2</v>
      </c>
      <c r="J37" s="56">
        <f>AVERAGE(Input_CMS_5!$P41:$R41)/100</f>
        <v>4.7666666666666663E-2</v>
      </c>
      <c r="K37" s="166"/>
      <c r="L37" s="166"/>
      <c r="M37" s="166"/>
      <c r="N37" s="166"/>
      <c r="O37" s="166"/>
      <c r="P37" s="166"/>
      <c r="Q37" s="166"/>
      <c r="R37" s="166"/>
      <c r="S37" s="166"/>
    </row>
    <row r="38" spans="1:19">
      <c r="A38" t="s">
        <v>11</v>
      </c>
      <c r="B38" s="56">
        <f>Input_CMS_5!M$40/100</f>
        <v>5.9000000000000004E-2</v>
      </c>
      <c r="C38" s="56">
        <f>Input_CMS_5!N$40/100</f>
        <v>5.9000000000000004E-2</v>
      </c>
      <c r="D38" s="56">
        <f>Input_CMS_5!O$40/100</f>
        <v>5.9000000000000004E-2</v>
      </c>
      <c r="E38" s="56">
        <f>Input_CMS_5!P$40/100</f>
        <v>5.9000000000000004E-2</v>
      </c>
      <c r="F38" s="56">
        <f>Input_CMS_5!Q$40/100</f>
        <v>6.0999999999999999E-2</v>
      </c>
      <c r="G38" s="56">
        <f>Input_CMS_5!R$40/100</f>
        <v>5.5999999999999994E-2</v>
      </c>
      <c r="H38" s="56">
        <f>AVERAGE(Input_CMS_5!$P40:$R40)/100</f>
        <v>5.8666666666666673E-2</v>
      </c>
      <c r="I38" s="56">
        <f>AVERAGE(Input_CMS_5!$P40:$R40)/100</f>
        <v>5.8666666666666673E-2</v>
      </c>
      <c r="J38" s="56">
        <f>AVERAGE(Input_CMS_5!$P40:$R40)/100</f>
        <v>5.8666666666666673E-2</v>
      </c>
      <c r="K38" s="166"/>
      <c r="L38" s="166"/>
      <c r="M38" s="166"/>
      <c r="N38" s="166"/>
      <c r="O38" s="166"/>
      <c r="P38" s="166"/>
      <c r="Q38" s="166"/>
      <c r="R38" s="166"/>
      <c r="S38" s="166"/>
    </row>
    <row r="39" spans="1:19">
      <c r="A39" t="s">
        <v>13</v>
      </c>
      <c r="B39" s="56">
        <f>Input_CMS_5!M$44/100</f>
        <v>3.5000000000000003E-2</v>
      </c>
      <c r="C39" s="56">
        <f>Input_CMS_5!N$44/100</f>
        <v>3.3000000000000002E-2</v>
      </c>
      <c r="D39" s="56">
        <f>Input_CMS_5!O$44/100</f>
        <v>3.7999999999999999E-2</v>
      </c>
      <c r="E39" s="56">
        <f>Input_CMS_5!P$44/100</f>
        <v>0.04</v>
      </c>
      <c r="F39" s="56">
        <f>Input_CMS_5!Q$44/100</f>
        <v>3.7000000000000005E-2</v>
      </c>
      <c r="G39" s="56">
        <f>Input_CMS_5!R$44/100</f>
        <v>3.5000000000000003E-2</v>
      </c>
      <c r="H39" s="56">
        <f>AVERAGE(Input_CMS_5!$P44:$R44)/100</f>
        <v>3.7333333333333329E-2</v>
      </c>
      <c r="I39" s="56">
        <f>AVERAGE(Input_CMS_5!$P44:$R44)/100</f>
        <v>3.7333333333333329E-2</v>
      </c>
      <c r="J39" s="56">
        <f>AVERAGE(Input_CMS_5!$P44:$R44)/100</f>
        <v>3.7333333333333329E-2</v>
      </c>
      <c r="K39" s="166"/>
      <c r="L39" s="166"/>
      <c r="M39" s="166"/>
      <c r="N39" s="166"/>
      <c r="O39" s="166"/>
      <c r="P39" s="166"/>
      <c r="Q39" s="166"/>
      <c r="R39" s="166"/>
      <c r="S39" s="166"/>
    </row>
    <row r="40" spans="1:19">
      <c r="A40" t="s">
        <v>71</v>
      </c>
      <c r="B40" s="56">
        <f>Input_CMS_5!M$45/100</f>
        <v>5.2000000000000005E-2</v>
      </c>
      <c r="C40" s="56">
        <f>Input_CMS_5!N$45/100</f>
        <v>5.2000000000000005E-2</v>
      </c>
      <c r="D40" s="56">
        <f>Input_CMS_5!O$45/100</f>
        <v>5.2999999999999999E-2</v>
      </c>
      <c r="E40" s="56">
        <f>Input_CMS_5!P$45/100</f>
        <v>5.2999999999999999E-2</v>
      </c>
      <c r="F40" s="56">
        <f>Input_CMS_5!Q$45/100</f>
        <v>5.2999999999999999E-2</v>
      </c>
      <c r="G40" s="56">
        <f>Input_CMS_5!R$45/100</f>
        <v>5.2000000000000005E-2</v>
      </c>
      <c r="H40" s="56">
        <f>AVERAGE(Input_CMS_5!$P$45:$R$45)/100</f>
        <v>5.2666666666666667E-2</v>
      </c>
      <c r="I40" s="56">
        <f>AVERAGE(Input_CMS_5!$P$45:$R$45)/100</f>
        <v>5.2666666666666667E-2</v>
      </c>
      <c r="J40" s="56">
        <f>AVERAGE(Input_CMS_5!$P$45:$R$45)/100</f>
        <v>5.2666666666666667E-2</v>
      </c>
      <c r="K40" s="166"/>
      <c r="L40" s="166"/>
      <c r="M40" s="166"/>
      <c r="N40" s="166"/>
      <c r="O40" s="166"/>
      <c r="P40" s="166"/>
      <c r="Q40" s="166"/>
      <c r="R40" s="166"/>
      <c r="S40" s="166"/>
    </row>
    <row r="41" spans="1:19">
      <c r="B41" s="56"/>
      <c r="C41" s="56"/>
      <c r="D41" s="56"/>
      <c r="E41" s="56"/>
      <c r="F41" s="56"/>
      <c r="G41" s="56"/>
      <c r="H41" s="56"/>
      <c r="I41" s="56"/>
      <c r="J41" s="56"/>
    </row>
    <row r="42" spans="1:19">
      <c r="A42" t="s">
        <v>177</v>
      </c>
      <c r="B42" s="166">
        <v>5.0000000000000001E-3</v>
      </c>
      <c r="C42" t="s">
        <v>178</v>
      </c>
    </row>
    <row r="43" spans="1:19">
      <c r="A43" t="s">
        <v>271</v>
      </c>
      <c r="B43" s="166"/>
      <c r="C43"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B2C9-F5D9-4597-9523-4E8EA58B3221}">
  <dimension ref="A1:E19"/>
  <sheetViews>
    <sheetView topLeftCell="A7" workbookViewId="0">
      <selection activeCell="B24" sqref="B24"/>
    </sheetView>
  </sheetViews>
  <sheetFormatPr defaultColWidth="12.453125" defaultRowHeight="15.5"/>
  <cols>
    <col min="1" max="1" width="23.7265625" style="320" customWidth="1"/>
    <col min="2" max="2" width="22.453125" style="320" bestFit="1" customWidth="1"/>
    <col min="3" max="3" width="21.1796875" style="320" bestFit="1" customWidth="1"/>
    <col min="4" max="5" width="22.26953125" style="320" bestFit="1" customWidth="1"/>
    <col min="6" max="16384" width="12.453125" style="320"/>
  </cols>
  <sheetData>
    <row r="1" spans="1:5">
      <c r="A1" s="320" t="s">
        <v>419</v>
      </c>
    </row>
    <row r="3" spans="1:5">
      <c r="A3" s="319" t="s">
        <v>387</v>
      </c>
    </row>
    <row r="4" spans="1:5">
      <c r="B4" s="320" t="s">
        <v>388</v>
      </c>
      <c r="C4" s="320" t="s">
        <v>102</v>
      </c>
      <c r="D4" s="320" t="s">
        <v>101</v>
      </c>
    </row>
    <row r="5" spans="1:5">
      <c r="A5" s="320" t="s">
        <v>389</v>
      </c>
      <c r="B5" s="332">
        <v>20467348</v>
      </c>
      <c r="C5" s="332">
        <v>9139000</v>
      </c>
      <c r="D5" s="332">
        <v>6036000</v>
      </c>
      <c r="E5" s="329">
        <f>SUM(B5:D5)</f>
        <v>35642348</v>
      </c>
    </row>
    <row r="6" spans="1:5">
      <c r="A6" s="320" t="s">
        <v>390</v>
      </c>
      <c r="B6" s="331">
        <v>0.875</v>
      </c>
      <c r="C6" s="331">
        <v>1</v>
      </c>
      <c r="D6" s="331">
        <v>0.94799999999999995</v>
      </c>
    </row>
    <row r="7" spans="1:5">
      <c r="A7" s="335" t="s">
        <v>423</v>
      </c>
      <c r="B7" s="329">
        <v>159717000000</v>
      </c>
      <c r="C7" s="329">
        <v>99166000000</v>
      </c>
      <c r="D7" s="329">
        <v>95815000000</v>
      </c>
    </row>
    <row r="8" spans="1:5">
      <c r="A8" s="335" t="s">
        <v>424</v>
      </c>
      <c r="B8" s="329">
        <f>B7/B6</f>
        <v>182533714285.71429</v>
      </c>
      <c r="C8" s="329">
        <f>C7/C6</f>
        <v>99166000000</v>
      </c>
      <c r="D8" s="329">
        <f>D7/D6</f>
        <v>101070675105.48523</v>
      </c>
      <c r="E8" s="329">
        <f>SUM(B8:D8)</f>
        <v>382770389391.19952</v>
      </c>
    </row>
    <row r="9" spans="1:5">
      <c r="A9" s="320" t="s">
        <v>391</v>
      </c>
      <c r="B9" s="330">
        <f>B8/E8</f>
        <v>0.47687522165974267</v>
      </c>
      <c r="C9" s="330">
        <f>C8/E8</f>
        <v>0.2590743765674367</v>
      </c>
      <c r="D9" s="330">
        <f>D8/E8</f>
        <v>0.26405040177282063</v>
      </c>
      <c r="E9" s="330">
        <v>1</v>
      </c>
    </row>
    <row r="10" spans="1:5">
      <c r="A10" s="335" t="s">
        <v>396</v>
      </c>
      <c r="B10" s="330">
        <f>B5/E5</f>
        <v>0.57424241523033215</v>
      </c>
      <c r="C10" s="330">
        <f>C5/E5</f>
        <v>0.25640847230378871</v>
      </c>
      <c r="D10" s="330">
        <f>D5/E5</f>
        <v>0.16934911246587908</v>
      </c>
      <c r="E10" s="330">
        <v>1</v>
      </c>
    </row>
    <row r="11" spans="1:5" ht="46.5">
      <c r="A11" s="336" t="s">
        <v>425</v>
      </c>
      <c r="B11" s="337">
        <f>(1-B6)*1.2</f>
        <v>0.15</v>
      </c>
      <c r="C11" s="337">
        <f>(1-C6)*1.2</f>
        <v>0</v>
      </c>
      <c r="D11" s="337">
        <f>(1-D6)*1.2</f>
        <v>6.2400000000000053E-2</v>
      </c>
      <c r="E11" s="329"/>
    </row>
    <row r="12" spans="1:5" ht="31">
      <c r="A12" s="336" t="s">
        <v>426</v>
      </c>
      <c r="B12" s="320" t="s">
        <v>47</v>
      </c>
      <c r="E12" s="338">
        <f>SUMPRODUCT(B11:D11,B9:D9)</f>
        <v>8.8008028319585416E-2</v>
      </c>
    </row>
    <row r="13" spans="1:5" ht="31">
      <c r="A13" s="336" t="s">
        <v>427</v>
      </c>
      <c r="E13" s="338">
        <f>SUMPRODUCT(B11:D11,B10:D10)</f>
        <v>9.6703746902420687E-2</v>
      </c>
    </row>
    <row r="14" spans="1:5" ht="46.5">
      <c r="A14" s="336" t="s">
        <v>428</v>
      </c>
      <c r="E14" s="339">
        <f>E12/E13</f>
        <v>0.9100787832801378</v>
      </c>
    </row>
    <row r="16" spans="1:5" s="515" customFormat="1">
      <c r="A16" s="514" t="s">
        <v>1053</v>
      </c>
      <c r="B16" s="514"/>
      <c r="C16" s="514"/>
      <c r="D16" s="514"/>
      <c r="E16" s="514"/>
    </row>
    <row r="17" spans="1:5" s="515" customFormat="1">
      <c r="A17" s="514" t="s">
        <v>1055</v>
      </c>
      <c r="B17" s="514"/>
      <c r="C17" s="514"/>
      <c r="D17" s="514"/>
      <c r="E17" s="514"/>
    </row>
    <row r="18" spans="1:5" s="515" customFormat="1">
      <c r="A18" s="514" t="s">
        <v>1054</v>
      </c>
      <c r="B18" s="514"/>
      <c r="C18" s="514"/>
      <c r="D18" s="514"/>
      <c r="E18" s="514"/>
    </row>
    <row r="19" spans="1:5">
      <c r="A19" s="499"/>
      <c r="B19" s="499"/>
      <c r="C19" s="499"/>
      <c r="D19" s="499"/>
      <c r="E19" s="49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97E2-2564-4576-8638-40EF4A96B132}">
  <dimension ref="A1:J224"/>
  <sheetViews>
    <sheetView topLeftCell="A22" workbookViewId="0">
      <selection activeCell="D40" sqref="D40"/>
    </sheetView>
  </sheetViews>
  <sheetFormatPr defaultColWidth="12.453125" defaultRowHeight="15.5"/>
  <cols>
    <col min="1" max="4" width="12.453125" style="320"/>
    <col min="5" max="5" width="22.453125" style="320" customWidth="1"/>
    <col min="6" max="7" width="12.453125" style="320"/>
    <col min="8" max="8" width="19.1796875" style="320" customWidth="1"/>
    <col min="9" max="9" width="18.453125" style="320" bestFit="1" customWidth="1"/>
    <col min="10" max="10" width="20.7265625" style="320" bestFit="1" customWidth="1"/>
    <col min="11" max="16384" width="12.453125" style="320"/>
  </cols>
  <sheetData>
    <row r="1" spans="1:10">
      <c r="A1" s="320" t="s">
        <v>420</v>
      </c>
    </row>
    <row r="3" spans="1:10">
      <c r="A3" s="319"/>
      <c r="H3" s="319"/>
    </row>
    <row r="4" spans="1:10" ht="46.5">
      <c r="A4" s="321"/>
      <c r="B4" s="320" t="s">
        <v>295</v>
      </c>
      <c r="C4" s="322" t="s">
        <v>392</v>
      </c>
      <c r="E4" s="320" t="s">
        <v>393</v>
      </c>
      <c r="F4" s="333" t="s">
        <v>394</v>
      </c>
      <c r="G4" s="333"/>
    </row>
    <row r="5" spans="1:10">
      <c r="A5" s="320">
        <v>8</v>
      </c>
      <c r="B5" s="333">
        <v>0.92500000000000004</v>
      </c>
      <c r="C5" s="333">
        <v>0.892625</v>
      </c>
      <c r="D5" s="333">
        <v>0.08</v>
      </c>
      <c r="E5" s="333">
        <v>7.400000000000001E-2</v>
      </c>
      <c r="F5" s="333">
        <v>7.1410000000000001E-2</v>
      </c>
      <c r="G5" s="333"/>
      <c r="H5" s="333">
        <v>0.892625</v>
      </c>
      <c r="I5" s="333">
        <v>0.08</v>
      </c>
      <c r="J5" s="333">
        <v>7.1410000000000001E-2</v>
      </c>
    </row>
    <row r="6" spans="1:10">
      <c r="A6" s="320">
        <v>8</v>
      </c>
      <c r="B6" s="333">
        <v>0.93</v>
      </c>
      <c r="C6" s="333">
        <v>0.89745000000000008</v>
      </c>
      <c r="D6" s="333">
        <v>0.08</v>
      </c>
      <c r="E6" s="333">
        <v>7.4400000000000008E-2</v>
      </c>
      <c r="F6" s="333">
        <v>7.1796000000000013E-2</v>
      </c>
      <c r="G6" s="333"/>
      <c r="H6" s="333">
        <v>0.89745000000000008</v>
      </c>
      <c r="I6" s="333">
        <v>0.08</v>
      </c>
      <c r="J6" s="333">
        <v>7.1796000000000013E-2</v>
      </c>
    </row>
    <row r="7" spans="1:10">
      <c r="A7" s="320">
        <v>8</v>
      </c>
      <c r="B7" s="333">
        <v>0.93500000000000005</v>
      </c>
      <c r="C7" s="333">
        <v>0.90227500000000005</v>
      </c>
      <c r="D7" s="333">
        <v>0.08</v>
      </c>
      <c r="E7" s="333">
        <v>7.4800000000000005E-2</v>
      </c>
      <c r="F7" s="333">
        <v>7.218200000000001E-2</v>
      </c>
      <c r="G7" s="333"/>
      <c r="H7" s="333">
        <v>0.90227500000000005</v>
      </c>
      <c r="I7" s="333">
        <v>0.08</v>
      </c>
      <c r="J7" s="333">
        <v>7.218200000000001E-2</v>
      </c>
    </row>
    <row r="8" spans="1:10">
      <c r="A8" s="320">
        <v>8</v>
      </c>
      <c r="B8" s="333">
        <v>0.94</v>
      </c>
      <c r="C8" s="333">
        <v>0.90709999999999991</v>
      </c>
      <c r="D8" s="333">
        <v>0.08</v>
      </c>
      <c r="E8" s="333">
        <v>7.5200000000000003E-2</v>
      </c>
      <c r="F8" s="333">
        <v>7.2567999999999994E-2</v>
      </c>
      <c r="G8" s="333"/>
      <c r="H8" s="333">
        <v>0.90709999999999991</v>
      </c>
      <c r="I8" s="333">
        <v>0.08</v>
      </c>
      <c r="J8" s="333">
        <v>7.2567999999999994E-2</v>
      </c>
    </row>
    <row r="9" spans="1:10">
      <c r="A9" s="320">
        <v>8</v>
      </c>
      <c r="B9" s="333">
        <v>0.94499999999999995</v>
      </c>
      <c r="C9" s="333">
        <v>0.91192499999999999</v>
      </c>
      <c r="D9" s="333">
        <v>0.08</v>
      </c>
      <c r="E9" s="333">
        <v>7.5600000000000001E-2</v>
      </c>
      <c r="F9" s="333">
        <v>7.2954000000000005E-2</v>
      </c>
      <c r="G9" s="333"/>
      <c r="H9" s="333">
        <v>0.91192499999999999</v>
      </c>
      <c r="I9" s="333">
        <v>0.08</v>
      </c>
      <c r="J9" s="333">
        <v>7.2954000000000005E-2</v>
      </c>
    </row>
    <row r="10" spans="1:10">
      <c r="A10" s="320">
        <v>8</v>
      </c>
      <c r="B10" s="333">
        <v>0.95</v>
      </c>
      <c r="C10" s="333">
        <v>0.91674999999999995</v>
      </c>
      <c r="D10" s="333">
        <v>0.08</v>
      </c>
      <c r="E10" s="333">
        <v>7.5999999999999998E-2</v>
      </c>
      <c r="F10" s="333">
        <v>7.3340000000000002E-2</v>
      </c>
      <c r="G10" s="333"/>
      <c r="H10" s="333">
        <v>0.91674999999999995</v>
      </c>
      <c r="I10" s="333">
        <v>0.08</v>
      </c>
      <c r="J10" s="333">
        <v>7.3340000000000002E-2</v>
      </c>
    </row>
    <row r="11" spans="1:10">
      <c r="A11" s="320">
        <v>8</v>
      </c>
      <c r="B11" s="333">
        <v>0.95499999999999996</v>
      </c>
      <c r="C11" s="333">
        <v>0.92157499999999992</v>
      </c>
      <c r="D11" s="333">
        <v>0.08</v>
      </c>
      <c r="E11" s="333">
        <v>7.6399999999999996E-2</v>
      </c>
      <c r="F11" s="333">
        <v>7.3726E-2</v>
      </c>
      <c r="G11" s="333"/>
      <c r="H11" s="333">
        <v>0.92157499999999992</v>
      </c>
      <c r="I11" s="333">
        <v>0.08</v>
      </c>
      <c r="J11" s="333">
        <v>7.3726E-2</v>
      </c>
    </row>
    <row r="12" spans="1:10">
      <c r="A12" s="320">
        <v>8</v>
      </c>
      <c r="B12" s="333">
        <v>0.96</v>
      </c>
      <c r="C12" s="333">
        <v>0.9264</v>
      </c>
      <c r="D12" s="333">
        <v>0.08</v>
      </c>
      <c r="E12" s="333">
        <v>7.6799999999999993E-2</v>
      </c>
      <c r="F12" s="333">
        <v>7.4111999999999997E-2</v>
      </c>
      <c r="G12" s="333"/>
      <c r="H12" s="333">
        <v>0.9264</v>
      </c>
      <c r="I12" s="333">
        <v>0.08</v>
      </c>
      <c r="J12" s="333">
        <v>7.4111999999999997E-2</v>
      </c>
    </row>
    <row r="13" spans="1:10">
      <c r="A13" s="320">
        <v>8</v>
      </c>
      <c r="B13" s="333">
        <v>0.96499999999999997</v>
      </c>
      <c r="C13" s="333">
        <v>0.93122499999999997</v>
      </c>
      <c r="D13" s="333">
        <v>0.08</v>
      </c>
      <c r="E13" s="333">
        <v>7.7200000000000005E-2</v>
      </c>
      <c r="F13" s="333">
        <v>7.4497999999999995E-2</v>
      </c>
      <c r="G13" s="333"/>
      <c r="H13" s="333">
        <v>0.93122499999999997</v>
      </c>
      <c r="I13" s="333">
        <v>0.08</v>
      </c>
      <c r="J13" s="333">
        <v>7.4497999999999995E-2</v>
      </c>
    </row>
    <row r="14" spans="1:10">
      <c r="A14" s="320">
        <v>8</v>
      </c>
      <c r="B14" s="333">
        <v>0.97</v>
      </c>
      <c r="C14" s="333">
        <v>0.93604999999999994</v>
      </c>
      <c r="D14" s="333">
        <v>0.08</v>
      </c>
      <c r="E14" s="333">
        <v>7.7600000000000002E-2</v>
      </c>
      <c r="F14" s="333">
        <v>7.4883999999999992E-2</v>
      </c>
      <c r="G14" s="333"/>
      <c r="H14" s="333">
        <v>0.93604999999999994</v>
      </c>
      <c r="I14" s="333">
        <v>0.08</v>
      </c>
      <c r="J14" s="333">
        <v>7.4883999999999992E-2</v>
      </c>
    </row>
    <row r="15" spans="1:10">
      <c r="B15" s="333"/>
      <c r="C15" s="333" t="s">
        <v>47</v>
      </c>
      <c r="D15" s="333" t="s">
        <v>47</v>
      </c>
      <c r="E15" s="333" t="s">
        <v>47</v>
      </c>
      <c r="F15" s="333" t="s">
        <v>47</v>
      </c>
      <c r="G15" s="333"/>
    </row>
    <row r="16" spans="1:10">
      <c r="A16" s="320">
        <v>1.4</v>
      </c>
      <c r="B16" s="333">
        <v>0.89</v>
      </c>
      <c r="C16" s="333">
        <v>0.85885</v>
      </c>
      <c r="D16" s="333">
        <v>1.3999999999999999E-2</v>
      </c>
      <c r="E16" s="333">
        <v>1.2459999999999999E-2</v>
      </c>
      <c r="F16" s="333">
        <v>1.2023899999999999E-2</v>
      </c>
      <c r="G16" s="333"/>
      <c r="H16" s="333">
        <v>0.85885</v>
      </c>
      <c r="I16" s="333">
        <v>1.3999999999999999E-2</v>
      </c>
      <c r="J16" s="333">
        <v>1.2023899999999999E-2</v>
      </c>
    </row>
    <row r="17" spans="1:10">
      <c r="A17" s="320">
        <v>1.4</v>
      </c>
      <c r="B17" s="333">
        <v>0.88</v>
      </c>
      <c r="C17" s="333">
        <v>0.84919999999999995</v>
      </c>
      <c r="D17" s="333">
        <v>1.3999999999999999E-2</v>
      </c>
      <c r="E17" s="333">
        <v>1.2319999999999999E-2</v>
      </c>
      <c r="F17" s="333">
        <v>1.1888799999999998E-2</v>
      </c>
      <c r="G17" s="333"/>
      <c r="H17" s="333">
        <v>0.84919999999999995</v>
      </c>
      <c r="I17" s="333">
        <v>1.3999999999999999E-2</v>
      </c>
      <c r="J17" s="333">
        <v>1.1888799999999998E-2</v>
      </c>
    </row>
    <row r="18" spans="1:10">
      <c r="A18" s="320">
        <v>1.4</v>
      </c>
      <c r="B18" s="333">
        <v>0.87</v>
      </c>
      <c r="C18" s="333">
        <v>0.83955000000000002</v>
      </c>
      <c r="D18" s="333">
        <v>1.3999999999999999E-2</v>
      </c>
      <c r="E18" s="333">
        <v>1.2179999999999998E-2</v>
      </c>
      <c r="F18" s="333">
        <v>1.1753699999999999E-2</v>
      </c>
      <c r="G18" s="333"/>
      <c r="H18" s="333">
        <v>0.83955000000000002</v>
      </c>
      <c r="I18" s="333">
        <v>1.3999999999999999E-2</v>
      </c>
      <c r="J18" s="333">
        <v>1.1753699999999999E-2</v>
      </c>
    </row>
    <row r="19" spans="1:10">
      <c r="A19" s="320">
        <v>1.4</v>
      </c>
      <c r="B19" s="333">
        <v>0.86</v>
      </c>
      <c r="C19" s="333">
        <v>0.82989999999999997</v>
      </c>
      <c r="D19" s="333">
        <v>1.3999999999999999E-2</v>
      </c>
      <c r="E19" s="333">
        <v>1.2039999999999999E-2</v>
      </c>
      <c r="F19" s="333">
        <v>1.1618599999999998E-2</v>
      </c>
      <c r="G19" s="333"/>
      <c r="H19" s="333">
        <v>0.82989999999999997</v>
      </c>
      <c r="I19" s="333">
        <v>1.3999999999999999E-2</v>
      </c>
      <c r="J19" s="333">
        <v>1.1618599999999998E-2</v>
      </c>
    </row>
    <row r="20" spans="1:10">
      <c r="A20" s="320">
        <v>1.4</v>
      </c>
      <c r="B20" s="333">
        <v>0.85</v>
      </c>
      <c r="C20" s="333">
        <v>0.82024999999999992</v>
      </c>
      <c r="D20" s="333">
        <v>1.3999999999999999E-2</v>
      </c>
      <c r="E20" s="333">
        <v>1.1899999999999999E-2</v>
      </c>
      <c r="F20" s="333">
        <v>1.1483499999999997E-2</v>
      </c>
      <c r="G20" s="333"/>
      <c r="H20" s="333">
        <v>0.82024999999999992</v>
      </c>
      <c r="I20" s="333">
        <v>1.3999999999999999E-2</v>
      </c>
      <c r="J20" s="333">
        <v>1.1483499999999997E-2</v>
      </c>
    </row>
    <row r="21" spans="1:10">
      <c r="A21" s="320">
        <v>1.4</v>
      </c>
      <c r="B21" s="333">
        <v>0.84</v>
      </c>
      <c r="C21" s="333">
        <v>0.81059999999999999</v>
      </c>
      <c r="D21" s="333">
        <v>1.3999999999999999E-2</v>
      </c>
      <c r="E21" s="333">
        <v>1.1759999999999998E-2</v>
      </c>
      <c r="F21" s="333">
        <v>1.1348399999999998E-2</v>
      </c>
      <c r="G21" s="333"/>
      <c r="H21" s="333">
        <v>0.81059999999999999</v>
      </c>
      <c r="I21" s="333">
        <v>1.3999999999999999E-2</v>
      </c>
      <c r="J21" s="333">
        <v>1.1348399999999998E-2</v>
      </c>
    </row>
    <row r="22" spans="1:10">
      <c r="A22" s="320">
        <v>1.4</v>
      </c>
      <c r="B22" s="333">
        <v>0.83</v>
      </c>
      <c r="C22" s="333">
        <v>0.80094999999999994</v>
      </c>
      <c r="D22" s="333">
        <v>1.3999999999999999E-2</v>
      </c>
      <c r="E22" s="333">
        <v>1.1619999999999998E-2</v>
      </c>
      <c r="F22" s="333">
        <v>1.1213299999999997E-2</v>
      </c>
      <c r="G22" s="333"/>
      <c r="H22" s="333">
        <v>0.80094999999999994</v>
      </c>
      <c r="I22" s="333">
        <v>1.3999999999999999E-2</v>
      </c>
      <c r="J22" s="333">
        <v>1.1213299999999997E-2</v>
      </c>
    </row>
    <row r="23" spans="1:10">
      <c r="A23" s="320">
        <v>1.4</v>
      </c>
      <c r="B23" s="333">
        <v>0.82</v>
      </c>
      <c r="C23" s="333">
        <v>0.7913</v>
      </c>
      <c r="D23" s="333">
        <v>1.3999999999999999E-2</v>
      </c>
      <c r="E23" s="333">
        <v>1.1479999999999999E-2</v>
      </c>
      <c r="F23" s="333">
        <v>1.1078199999999998E-2</v>
      </c>
      <c r="G23" s="333"/>
      <c r="H23" s="333">
        <v>0.7913</v>
      </c>
      <c r="I23" s="333">
        <v>1.3999999999999999E-2</v>
      </c>
      <c r="J23" s="333">
        <v>1.1078199999999998E-2</v>
      </c>
    </row>
    <row r="24" spans="1:10">
      <c r="A24" s="320">
        <v>1.4</v>
      </c>
      <c r="B24" s="333">
        <v>0.81</v>
      </c>
      <c r="C24" s="333">
        <v>0.78165000000000007</v>
      </c>
      <c r="D24" s="333">
        <v>1.3999999999999999E-2</v>
      </c>
      <c r="E24" s="333">
        <v>1.1339999999999999E-2</v>
      </c>
      <c r="F24" s="333">
        <v>1.0943099999999999E-2</v>
      </c>
      <c r="G24" s="333"/>
      <c r="H24" s="333">
        <v>0.78165000000000007</v>
      </c>
      <c r="I24" s="333">
        <v>1.3999999999999999E-2</v>
      </c>
      <c r="J24" s="333">
        <v>1.0943099999999999E-2</v>
      </c>
    </row>
    <row r="25" spans="1:10">
      <c r="A25" s="320">
        <v>1.4</v>
      </c>
      <c r="B25" s="333">
        <v>0.8</v>
      </c>
      <c r="C25" s="333">
        <v>0.77200000000000002</v>
      </c>
      <c r="D25" s="333">
        <v>1.3999999999999999E-2</v>
      </c>
      <c r="E25" s="333">
        <v>1.12E-2</v>
      </c>
      <c r="F25" s="333">
        <v>1.0808E-2</v>
      </c>
      <c r="G25" s="333"/>
      <c r="H25" s="333">
        <v>0.77200000000000002</v>
      </c>
      <c r="I25" s="333">
        <v>1.3999999999999999E-2</v>
      </c>
      <c r="J25" s="333">
        <v>1.0808E-2</v>
      </c>
    </row>
    <row r="26" spans="1:10">
      <c r="A26" s="320" t="s">
        <v>47</v>
      </c>
      <c r="B26" s="333"/>
      <c r="C26" s="333" t="s">
        <v>47</v>
      </c>
      <c r="D26" s="333" t="s">
        <v>47</v>
      </c>
      <c r="E26" s="333" t="s">
        <v>47</v>
      </c>
      <c r="F26" s="333" t="s">
        <v>47</v>
      </c>
      <c r="G26" s="333"/>
    </row>
    <row r="27" spans="1:10">
      <c r="A27" s="320">
        <v>0.6</v>
      </c>
      <c r="B27" s="333">
        <v>0.79</v>
      </c>
      <c r="C27" s="333">
        <v>0.76235000000000008</v>
      </c>
      <c r="D27" s="333">
        <v>6.0000000000000001E-3</v>
      </c>
      <c r="E27" s="333">
        <v>4.7400000000000003E-3</v>
      </c>
      <c r="F27" s="333">
        <v>4.5741000000000002E-3</v>
      </c>
      <c r="G27" s="333"/>
      <c r="H27" s="333">
        <v>0.76235000000000008</v>
      </c>
      <c r="I27" s="333">
        <v>6.0000000000000001E-3</v>
      </c>
      <c r="J27" s="333">
        <v>4.5741000000000002E-3</v>
      </c>
    </row>
    <row r="28" spans="1:10">
      <c r="A28" s="320">
        <v>0.6</v>
      </c>
      <c r="B28" s="333">
        <v>0.78</v>
      </c>
      <c r="C28" s="333">
        <v>0.75270000000000004</v>
      </c>
      <c r="D28" s="333">
        <v>6.0000000000000001E-3</v>
      </c>
      <c r="E28" s="333">
        <v>4.6800000000000001E-3</v>
      </c>
      <c r="F28" s="333">
        <v>4.5162000000000006E-3</v>
      </c>
      <c r="G28" s="333"/>
      <c r="H28" s="333">
        <v>0.75270000000000004</v>
      </c>
      <c r="I28" s="333">
        <v>6.0000000000000001E-3</v>
      </c>
      <c r="J28" s="333">
        <v>4.5162000000000006E-3</v>
      </c>
    </row>
    <row r="29" spans="1:10">
      <c r="A29" s="320">
        <v>0.6</v>
      </c>
      <c r="B29" s="333">
        <v>0.77</v>
      </c>
      <c r="C29" s="333">
        <v>0.74304999999999999</v>
      </c>
      <c r="D29" s="333">
        <v>6.0000000000000001E-3</v>
      </c>
      <c r="E29" s="333">
        <v>4.62E-3</v>
      </c>
      <c r="F29" s="333">
        <v>4.4583000000000001E-3</v>
      </c>
      <c r="G29" s="333"/>
      <c r="H29" s="333">
        <v>0.74304999999999999</v>
      </c>
      <c r="I29" s="333">
        <v>6.0000000000000001E-3</v>
      </c>
      <c r="J29" s="333">
        <v>4.4583000000000001E-3</v>
      </c>
    </row>
    <row r="30" spans="1:10">
      <c r="A30" s="320">
        <v>0.6</v>
      </c>
      <c r="B30" s="333">
        <v>0.76</v>
      </c>
      <c r="C30" s="333">
        <v>0.73340000000000005</v>
      </c>
      <c r="D30" s="333">
        <v>6.0000000000000001E-3</v>
      </c>
      <c r="E30" s="333">
        <v>4.5599999999999998E-3</v>
      </c>
      <c r="F30" s="333">
        <v>4.4004000000000005E-3</v>
      </c>
      <c r="G30" s="333"/>
      <c r="H30" s="333">
        <v>0.73340000000000005</v>
      </c>
      <c r="I30" s="333">
        <v>6.0000000000000001E-3</v>
      </c>
      <c r="J30" s="333">
        <v>4.4004000000000005E-3</v>
      </c>
    </row>
    <row r="31" spans="1:10">
      <c r="A31" s="320">
        <v>0.6</v>
      </c>
      <c r="B31" s="333">
        <v>0.75</v>
      </c>
      <c r="C31" s="333">
        <v>0.72375</v>
      </c>
      <c r="D31" s="333">
        <v>6.0000000000000001E-3</v>
      </c>
      <c r="E31" s="333">
        <v>4.5000000000000005E-3</v>
      </c>
      <c r="F31" s="333">
        <v>4.3425E-3</v>
      </c>
      <c r="G31" s="333"/>
      <c r="H31" s="333">
        <v>0.72375</v>
      </c>
      <c r="I31" s="333">
        <v>6.0000000000000001E-3</v>
      </c>
      <c r="J31" s="333">
        <v>4.3425E-3</v>
      </c>
    </row>
    <row r="32" spans="1:10">
      <c r="A32" s="320">
        <v>0.6</v>
      </c>
      <c r="B32" s="333">
        <v>0.74</v>
      </c>
      <c r="C32" s="333">
        <v>0.71409999999999996</v>
      </c>
      <c r="D32" s="333">
        <v>6.0000000000000001E-3</v>
      </c>
      <c r="E32" s="333">
        <v>4.4400000000000004E-3</v>
      </c>
      <c r="F32" s="333">
        <v>4.2845999999999995E-3</v>
      </c>
      <c r="G32" s="333"/>
      <c r="H32" s="333">
        <v>0.71409999999999996</v>
      </c>
      <c r="I32" s="333">
        <v>6.0000000000000001E-3</v>
      </c>
      <c r="J32" s="333">
        <v>4.2845999999999995E-3</v>
      </c>
    </row>
    <row r="33" spans="1:10">
      <c r="A33" s="320">
        <v>0.6</v>
      </c>
      <c r="B33" s="333">
        <v>0.73</v>
      </c>
      <c r="C33" s="333">
        <v>0.70445000000000002</v>
      </c>
      <c r="D33" s="333">
        <v>6.0000000000000001E-3</v>
      </c>
      <c r="E33" s="333">
        <v>4.3800000000000002E-3</v>
      </c>
      <c r="F33" s="333">
        <v>4.2266999999999999E-3</v>
      </c>
      <c r="G33" s="333"/>
      <c r="H33" s="333">
        <v>0.70445000000000002</v>
      </c>
      <c r="I33" s="333">
        <v>6.0000000000000001E-3</v>
      </c>
      <c r="J33" s="333">
        <v>4.2266999999999999E-3</v>
      </c>
    </row>
    <row r="34" spans="1:10">
      <c r="A34" s="320">
        <v>0.6</v>
      </c>
      <c r="B34" s="333">
        <v>0.72</v>
      </c>
      <c r="C34" s="333">
        <v>0.69479999999999997</v>
      </c>
      <c r="D34" s="333">
        <v>6.0000000000000001E-3</v>
      </c>
      <c r="E34" s="333">
        <v>4.3200000000000001E-3</v>
      </c>
      <c r="F34" s="333">
        <v>4.1688000000000003E-3</v>
      </c>
      <c r="G34" s="333"/>
      <c r="H34" s="333">
        <v>0.69479999999999997</v>
      </c>
      <c r="I34" s="333">
        <v>6.0000000000000001E-3</v>
      </c>
      <c r="J34" s="333">
        <v>4.1688000000000003E-3</v>
      </c>
    </row>
    <row r="35" spans="1:10">
      <c r="A35" s="320">
        <v>0.6</v>
      </c>
      <c r="B35" s="333">
        <v>0.71</v>
      </c>
      <c r="C35" s="333">
        <v>0.68514999999999993</v>
      </c>
      <c r="D35" s="333">
        <v>6.0000000000000001E-3</v>
      </c>
      <c r="E35" s="333">
        <v>4.2599999999999999E-3</v>
      </c>
      <c r="F35" s="333">
        <v>4.1108999999999998E-3</v>
      </c>
      <c r="G35" s="333"/>
      <c r="H35" s="333">
        <v>0.68514999999999993</v>
      </c>
      <c r="I35" s="333">
        <v>6.0000000000000001E-3</v>
      </c>
      <c r="J35" s="333">
        <v>4.1108999999999998E-3</v>
      </c>
    </row>
    <row r="36" spans="1:10">
      <c r="A36" s="320">
        <v>0.6</v>
      </c>
      <c r="B36" s="333">
        <v>0.7</v>
      </c>
      <c r="C36" s="333">
        <v>0.67549999999999999</v>
      </c>
      <c r="D36" s="333">
        <v>6.0000000000000001E-3</v>
      </c>
      <c r="E36" s="333">
        <v>4.1999999999999997E-3</v>
      </c>
      <c r="F36" s="333">
        <v>4.0530000000000002E-3</v>
      </c>
      <c r="G36" s="333"/>
      <c r="H36" s="333">
        <v>0.67549999999999999</v>
      </c>
      <c r="I36" s="333">
        <v>6.0000000000000001E-3</v>
      </c>
      <c r="J36" s="333">
        <v>4.0530000000000002E-3</v>
      </c>
    </row>
    <row r="37" spans="1:10">
      <c r="A37" s="320" t="s">
        <v>47</v>
      </c>
      <c r="B37" s="333"/>
      <c r="C37" s="333"/>
      <c r="D37" s="333"/>
      <c r="E37" s="333">
        <v>0.92100000000000015</v>
      </c>
      <c r="F37" s="333">
        <v>0.88876499999999992</v>
      </c>
      <c r="G37" s="333"/>
      <c r="H37" s="333" t="s">
        <v>47</v>
      </c>
      <c r="I37" s="333"/>
      <c r="J37" s="333">
        <v>0.88876499999999992</v>
      </c>
    </row>
    <row r="38" spans="1:10">
      <c r="B38" s="333"/>
      <c r="C38" s="333"/>
      <c r="D38" s="333"/>
      <c r="E38" s="333"/>
      <c r="F38" s="333"/>
      <c r="G38" s="333"/>
      <c r="H38" s="333"/>
      <c r="I38" s="333"/>
      <c r="J38" s="333"/>
    </row>
    <row r="39" spans="1:10">
      <c r="A39" s="320" t="s">
        <v>1056</v>
      </c>
      <c r="B39" s="333"/>
      <c r="C39" s="333"/>
      <c r="D39" s="333"/>
      <c r="E39" s="333"/>
      <c r="F39" s="333"/>
      <c r="G39" s="333"/>
      <c r="H39" s="333"/>
      <c r="I39" s="333"/>
      <c r="J39" s="333"/>
    </row>
    <row r="40" spans="1:10">
      <c r="A40" s="320" t="s">
        <v>1057</v>
      </c>
      <c r="B40" s="333"/>
      <c r="C40" s="333"/>
      <c r="D40" s="333"/>
      <c r="E40" s="333"/>
      <c r="F40" s="333"/>
      <c r="G40" s="333"/>
      <c r="H40" s="333"/>
      <c r="I40" s="333"/>
      <c r="J40" s="333"/>
    </row>
    <row r="41" spans="1:10">
      <c r="A41" s="320" t="s">
        <v>1058</v>
      </c>
      <c r="B41" s="333"/>
      <c r="C41" s="333"/>
      <c r="D41" s="333"/>
      <c r="E41" s="333"/>
      <c r="F41" s="333"/>
      <c r="G41" s="333"/>
      <c r="H41" s="333"/>
      <c r="I41" s="333"/>
      <c r="J41" s="333"/>
    </row>
    <row r="42" spans="1:10">
      <c r="A42" s="335" t="s">
        <v>1059</v>
      </c>
      <c r="F42" s="333"/>
      <c r="G42" s="333"/>
      <c r="H42" s="333"/>
      <c r="I42" s="333"/>
      <c r="J42" s="333"/>
    </row>
    <row r="43" spans="1:10">
      <c r="F43" s="333"/>
      <c r="G43" s="333"/>
      <c r="H43" s="333"/>
      <c r="I43" s="333"/>
      <c r="J43" s="333"/>
    </row>
    <row r="44" spans="1:10" ht="77.5">
      <c r="B44" s="323" t="s">
        <v>395</v>
      </c>
      <c r="C44" s="324"/>
      <c r="D44" s="320" t="s">
        <v>396</v>
      </c>
      <c r="E44" s="320" t="s">
        <v>389</v>
      </c>
      <c r="F44" s="333" t="s">
        <v>397</v>
      </c>
      <c r="G44" s="333" t="s">
        <v>398</v>
      </c>
      <c r="H44" s="340" t="s">
        <v>429</v>
      </c>
      <c r="I44" s="340" t="s">
        <v>430</v>
      </c>
      <c r="J44" s="341" t="s">
        <v>431</v>
      </c>
    </row>
    <row r="45" spans="1:10">
      <c r="B45" s="323" t="s">
        <v>399</v>
      </c>
      <c r="C45" s="325">
        <v>1216000</v>
      </c>
      <c r="D45" s="330">
        <v>0.08</v>
      </c>
      <c r="E45" s="326">
        <v>97280</v>
      </c>
      <c r="F45" s="333">
        <v>2.4979874144486591E-3</v>
      </c>
      <c r="G45" s="333">
        <v>0.892625</v>
      </c>
      <c r="H45" s="333">
        <v>1</v>
      </c>
      <c r="I45" s="333">
        <v>3.2186567835170967E-4</v>
      </c>
      <c r="J45" s="333">
        <v>3.2186567835170967E-4</v>
      </c>
    </row>
    <row r="46" spans="1:10">
      <c r="B46" s="323" t="s">
        <v>399</v>
      </c>
      <c r="C46" s="325">
        <v>1216000</v>
      </c>
      <c r="D46" s="330">
        <v>0.08</v>
      </c>
      <c r="E46" s="326">
        <v>97280</v>
      </c>
      <c r="F46" s="333">
        <v>2.4979874144486591E-3</v>
      </c>
      <c r="G46" s="333">
        <v>0.89745000000000008</v>
      </c>
      <c r="H46" s="333">
        <v>1</v>
      </c>
      <c r="I46" s="333">
        <v>3.0740233122205176E-4</v>
      </c>
      <c r="J46" s="333">
        <v>3.0740233122205176E-4</v>
      </c>
    </row>
    <row r="47" spans="1:10">
      <c r="B47" s="323" t="s">
        <v>399</v>
      </c>
      <c r="C47" s="325">
        <v>1216000</v>
      </c>
      <c r="D47" s="330">
        <v>0.08</v>
      </c>
      <c r="E47" s="326">
        <v>97280</v>
      </c>
      <c r="F47" s="333">
        <v>2.4979874144486591E-3</v>
      </c>
      <c r="G47" s="333">
        <v>0.90227500000000005</v>
      </c>
      <c r="H47" s="333">
        <v>1</v>
      </c>
      <c r="I47" s="333">
        <v>2.9293898409239413E-4</v>
      </c>
      <c r="J47" s="333">
        <v>2.9293898409239413E-4</v>
      </c>
    </row>
    <row r="48" spans="1:10">
      <c r="B48" s="323" t="s">
        <v>399</v>
      </c>
      <c r="C48" s="325">
        <v>1216000</v>
      </c>
      <c r="D48" s="330">
        <v>0.08</v>
      </c>
      <c r="E48" s="326">
        <v>97280</v>
      </c>
      <c r="F48" s="333">
        <v>2.4979874144486591E-3</v>
      </c>
      <c r="G48" s="333">
        <v>0.90709999999999991</v>
      </c>
      <c r="H48" s="333">
        <v>1</v>
      </c>
      <c r="I48" s="333">
        <v>2.7847563696273677E-4</v>
      </c>
      <c r="J48" s="333">
        <v>2.7847563696273677E-4</v>
      </c>
    </row>
    <row r="49" spans="2:10">
      <c r="B49" s="323" t="s">
        <v>399</v>
      </c>
      <c r="C49" s="325">
        <v>1216000</v>
      </c>
      <c r="D49" s="330">
        <v>0.08</v>
      </c>
      <c r="E49" s="326">
        <v>97280</v>
      </c>
      <c r="F49" s="333">
        <v>2.4979874144486591E-3</v>
      </c>
      <c r="G49" s="333">
        <v>0.91192499999999999</v>
      </c>
      <c r="H49" s="333">
        <v>1</v>
      </c>
      <c r="I49" s="333">
        <v>2.6401228983307881E-4</v>
      </c>
      <c r="J49" s="333">
        <v>2.6401228983307881E-4</v>
      </c>
    </row>
    <row r="50" spans="2:10">
      <c r="B50" s="323" t="s">
        <v>399</v>
      </c>
      <c r="C50" s="325">
        <v>1216000</v>
      </c>
      <c r="D50" s="330">
        <v>0.08</v>
      </c>
      <c r="E50" s="326">
        <v>97280</v>
      </c>
      <c r="F50" s="333">
        <v>2.4979874144486591E-3</v>
      </c>
      <c r="G50" s="333">
        <v>0.91674999999999995</v>
      </c>
      <c r="H50" s="333">
        <v>1</v>
      </c>
      <c r="I50" s="333">
        <v>2.4954894270342117E-4</v>
      </c>
      <c r="J50" s="333">
        <v>2.4954894270342117E-4</v>
      </c>
    </row>
    <row r="51" spans="2:10">
      <c r="B51" s="323" t="s">
        <v>399</v>
      </c>
      <c r="C51" s="325">
        <v>1216000</v>
      </c>
      <c r="D51" s="330">
        <v>0.08</v>
      </c>
      <c r="E51" s="326">
        <v>97280</v>
      </c>
      <c r="F51" s="333">
        <v>2.4979874144486591E-3</v>
      </c>
      <c r="G51" s="333">
        <v>0.92157499999999992</v>
      </c>
      <c r="H51" s="333">
        <v>1</v>
      </c>
      <c r="I51" s="333">
        <v>2.3508559557376354E-4</v>
      </c>
      <c r="J51" s="333">
        <v>2.3508559557376354E-4</v>
      </c>
    </row>
    <row r="52" spans="2:10">
      <c r="B52" s="323" t="s">
        <v>399</v>
      </c>
      <c r="C52" s="325">
        <v>1216000</v>
      </c>
      <c r="D52" s="330">
        <v>0.08</v>
      </c>
      <c r="E52" s="326">
        <v>97280</v>
      </c>
      <c r="F52" s="333">
        <v>2.4979874144486591E-3</v>
      </c>
      <c r="G52" s="333">
        <v>0.9264</v>
      </c>
      <c r="H52" s="333">
        <v>1</v>
      </c>
      <c r="I52" s="333">
        <v>2.2062224844410556E-4</v>
      </c>
      <c r="J52" s="333">
        <v>2.2062224844410556E-4</v>
      </c>
    </row>
    <row r="53" spans="2:10">
      <c r="B53" s="323" t="s">
        <v>399</v>
      </c>
      <c r="C53" s="325">
        <v>1216000</v>
      </c>
      <c r="D53" s="330">
        <v>0.08</v>
      </c>
      <c r="E53" s="326">
        <v>97280</v>
      </c>
      <c r="F53" s="333">
        <v>2.4979874144486591E-3</v>
      </c>
      <c r="G53" s="333">
        <v>0.93122499999999997</v>
      </c>
      <c r="H53" s="333">
        <v>1</v>
      </c>
      <c r="I53" s="333">
        <v>2.0615890131444792E-4</v>
      </c>
      <c r="J53" s="333">
        <v>2.0615890131444792E-4</v>
      </c>
    </row>
    <row r="54" spans="2:10">
      <c r="B54" s="323" t="s">
        <v>399</v>
      </c>
      <c r="C54" s="325">
        <v>1216000</v>
      </c>
      <c r="D54" s="330">
        <v>0.08</v>
      </c>
      <c r="E54" s="326">
        <v>97280</v>
      </c>
      <c r="F54" s="333">
        <v>2.4979874144486591E-3</v>
      </c>
      <c r="G54" s="333">
        <v>0.93604999999999994</v>
      </c>
      <c r="H54" s="333">
        <v>1</v>
      </c>
      <c r="I54" s="333">
        <v>1.9169555418479029E-4</v>
      </c>
      <c r="J54" s="333">
        <v>1.9169555418479029E-4</v>
      </c>
    </row>
    <row r="55" spans="2:10">
      <c r="B55" s="323" t="s">
        <v>399</v>
      </c>
      <c r="C55" s="325">
        <v>1216000</v>
      </c>
      <c r="D55" s="330">
        <v>1.3999999999999999E-2</v>
      </c>
      <c r="E55" s="326">
        <v>17024</v>
      </c>
      <c r="F55" s="333">
        <v>4.3714779752851538E-4</v>
      </c>
      <c r="G55" s="333">
        <v>0.85885</v>
      </c>
      <c r="H55" s="333">
        <v>1</v>
      </c>
      <c r="I55" s="333">
        <v>7.4044093945379929E-5</v>
      </c>
      <c r="J55" s="333">
        <v>7.4044093945379929E-5</v>
      </c>
    </row>
    <row r="56" spans="2:10">
      <c r="B56" s="323" t="s">
        <v>399</v>
      </c>
      <c r="C56" s="325">
        <v>1216000</v>
      </c>
      <c r="D56" s="330">
        <v>1.3999999999999999E-2</v>
      </c>
      <c r="E56" s="326">
        <v>17024</v>
      </c>
      <c r="F56" s="333">
        <v>4.3714779752851538E-4</v>
      </c>
      <c r="G56" s="333">
        <v>0.84919999999999995</v>
      </c>
      <c r="H56" s="333">
        <v>1</v>
      </c>
      <c r="I56" s="333">
        <v>7.9106265440760163E-5</v>
      </c>
      <c r="J56" s="333">
        <v>7.9106265440760163E-5</v>
      </c>
    </row>
    <row r="57" spans="2:10">
      <c r="B57" s="323" t="s">
        <v>399</v>
      </c>
      <c r="C57" s="325">
        <v>1216000</v>
      </c>
      <c r="D57" s="330">
        <v>1.3999999999999999E-2</v>
      </c>
      <c r="E57" s="326">
        <v>17024</v>
      </c>
      <c r="F57" s="333">
        <v>4.3714779752851538E-4</v>
      </c>
      <c r="G57" s="333">
        <v>0.83955000000000002</v>
      </c>
      <c r="H57" s="333">
        <v>1</v>
      </c>
      <c r="I57" s="333">
        <v>8.4168436936140343E-5</v>
      </c>
      <c r="J57" s="333">
        <v>8.4168436936140343E-5</v>
      </c>
    </row>
    <row r="58" spans="2:10">
      <c r="B58" s="323" t="s">
        <v>399</v>
      </c>
      <c r="C58" s="325">
        <v>1216000</v>
      </c>
      <c r="D58" s="330">
        <v>1.3999999999999999E-2</v>
      </c>
      <c r="E58" s="326">
        <v>17024</v>
      </c>
      <c r="F58" s="333">
        <v>4.3714779752851538E-4</v>
      </c>
      <c r="G58" s="333">
        <v>0.82989999999999997</v>
      </c>
      <c r="H58" s="333">
        <v>1</v>
      </c>
      <c r="I58" s="333">
        <v>8.9230608431520577E-5</v>
      </c>
      <c r="J58" s="333">
        <v>8.9230608431520577E-5</v>
      </c>
    </row>
    <row r="59" spans="2:10">
      <c r="B59" s="323" t="s">
        <v>399</v>
      </c>
      <c r="C59" s="325">
        <v>1216000</v>
      </c>
      <c r="D59" s="330">
        <v>1.3999999999999999E-2</v>
      </c>
      <c r="E59" s="326">
        <v>17024</v>
      </c>
      <c r="F59" s="333">
        <v>4.3714779752851538E-4</v>
      </c>
      <c r="G59" s="333">
        <v>0.82024999999999992</v>
      </c>
      <c r="H59" s="333">
        <v>1</v>
      </c>
      <c r="I59" s="333">
        <v>9.4292779926900797E-5</v>
      </c>
      <c r="J59" s="333">
        <v>9.4292779926900797E-5</v>
      </c>
    </row>
    <row r="60" spans="2:10">
      <c r="B60" s="323" t="s">
        <v>399</v>
      </c>
      <c r="C60" s="325">
        <v>1216000</v>
      </c>
      <c r="D60" s="330">
        <v>1.3999999999999999E-2</v>
      </c>
      <c r="E60" s="326">
        <v>17024</v>
      </c>
      <c r="F60" s="333">
        <v>4.3714779752851538E-4</v>
      </c>
      <c r="G60" s="333">
        <v>0.81059999999999999</v>
      </c>
      <c r="H60" s="333">
        <v>1</v>
      </c>
      <c r="I60" s="333">
        <v>9.9354951422280977E-5</v>
      </c>
      <c r="J60" s="333">
        <v>9.9354951422280977E-5</v>
      </c>
    </row>
    <row r="61" spans="2:10">
      <c r="B61" s="323" t="s">
        <v>399</v>
      </c>
      <c r="C61" s="325">
        <v>1216000</v>
      </c>
      <c r="D61" s="330">
        <v>1.3999999999999999E-2</v>
      </c>
      <c r="E61" s="326">
        <v>17024</v>
      </c>
      <c r="F61" s="333">
        <v>4.3714779752851538E-4</v>
      </c>
      <c r="G61" s="333">
        <v>0.80094999999999994</v>
      </c>
      <c r="H61" s="333">
        <v>1</v>
      </c>
      <c r="I61" s="333">
        <v>1.0441712291766121E-4</v>
      </c>
      <c r="J61" s="333">
        <v>1.0441712291766121E-4</v>
      </c>
    </row>
    <row r="62" spans="2:10">
      <c r="B62" s="323" t="s">
        <v>399</v>
      </c>
      <c r="C62" s="325">
        <v>1216000</v>
      </c>
      <c r="D62" s="330">
        <v>1.3999999999999999E-2</v>
      </c>
      <c r="E62" s="326">
        <v>17024</v>
      </c>
      <c r="F62" s="333">
        <v>4.3714779752851538E-4</v>
      </c>
      <c r="G62" s="333">
        <v>0.7913</v>
      </c>
      <c r="H62" s="333">
        <v>1</v>
      </c>
      <c r="I62" s="333">
        <v>1.0947929441304139E-4</v>
      </c>
      <c r="J62" s="333">
        <v>1.0947929441304139E-4</v>
      </c>
    </row>
    <row r="63" spans="2:10">
      <c r="B63" s="323" t="s">
        <v>399</v>
      </c>
      <c r="C63" s="325">
        <v>1216000</v>
      </c>
      <c r="D63" s="330">
        <v>1.3999999999999999E-2</v>
      </c>
      <c r="E63" s="326">
        <v>17024</v>
      </c>
      <c r="F63" s="333">
        <v>4.3714779752851538E-4</v>
      </c>
      <c r="G63" s="333">
        <v>0.78165000000000007</v>
      </c>
      <c r="H63" s="333">
        <v>1</v>
      </c>
      <c r="I63" s="333">
        <v>1.1454146590842156E-4</v>
      </c>
      <c r="J63" s="333">
        <v>1.1454146590842156E-4</v>
      </c>
    </row>
    <row r="64" spans="2:10">
      <c r="B64" s="323" t="s">
        <v>399</v>
      </c>
      <c r="C64" s="325">
        <v>1216000</v>
      </c>
      <c r="D64" s="330">
        <v>1.3999999999999999E-2</v>
      </c>
      <c r="E64" s="326">
        <v>17024</v>
      </c>
      <c r="F64" s="333">
        <v>4.3714779752851538E-4</v>
      </c>
      <c r="G64" s="333">
        <v>0.77200000000000002</v>
      </c>
      <c r="H64" s="333">
        <v>1</v>
      </c>
      <c r="I64" s="333">
        <v>1.1960363740380179E-4</v>
      </c>
      <c r="J64" s="333">
        <v>1.1960363740380179E-4</v>
      </c>
    </row>
    <row r="65" spans="2:10">
      <c r="B65" s="323" t="s">
        <v>399</v>
      </c>
      <c r="C65" s="325">
        <v>1216000</v>
      </c>
      <c r="D65" s="330">
        <v>6.0000000000000001E-3</v>
      </c>
      <c r="E65" s="326">
        <v>7296</v>
      </c>
      <c r="F65" s="333">
        <v>1.8734905608364945E-4</v>
      </c>
      <c r="G65" s="333">
        <v>0.76235000000000008</v>
      </c>
      <c r="H65" s="333">
        <v>1</v>
      </c>
      <c r="I65" s="333">
        <v>5.3428203813935127E-5</v>
      </c>
      <c r="J65" s="333">
        <v>5.3428203813935127E-5</v>
      </c>
    </row>
    <row r="66" spans="2:10">
      <c r="B66" s="323" t="s">
        <v>399</v>
      </c>
      <c r="C66" s="325">
        <v>1216000</v>
      </c>
      <c r="D66" s="330">
        <v>6.0000000000000001E-3</v>
      </c>
      <c r="E66" s="326">
        <v>7296</v>
      </c>
      <c r="F66" s="333">
        <v>1.8734905608364945E-4</v>
      </c>
      <c r="G66" s="333">
        <v>0.75270000000000004</v>
      </c>
      <c r="H66" s="333">
        <v>1</v>
      </c>
      <c r="I66" s="333">
        <v>5.5597705883383798E-5</v>
      </c>
      <c r="J66" s="333">
        <v>5.5597705883383798E-5</v>
      </c>
    </row>
    <row r="67" spans="2:10">
      <c r="B67" s="323" t="s">
        <v>399</v>
      </c>
      <c r="C67" s="325">
        <v>1216000</v>
      </c>
      <c r="D67" s="330">
        <v>6.0000000000000001E-3</v>
      </c>
      <c r="E67" s="326">
        <v>7296</v>
      </c>
      <c r="F67" s="333">
        <v>1.8734905608364945E-4</v>
      </c>
      <c r="G67" s="333">
        <v>0.74304999999999999</v>
      </c>
      <c r="H67" s="333">
        <v>1</v>
      </c>
      <c r="I67" s="333">
        <v>5.7767207952832476E-5</v>
      </c>
      <c r="J67" s="333">
        <v>5.7767207952832476E-5</v>
      </c>
    </row>
    <row r="68" spans="2:10">
      <c r="B68" s="323" t="s">
        <v>399</v>
      </c>
      <c r="C68" s="325">
        <v>1216000</v>
      </c>
      <c r="D68" s="330">
        <v>6.0000000000000001E-3</v>
      </c>
      <c r="E68" s="326">
        <v>7296</v>
      </c>
      <c r="F68" s="333">
        <v>1.8734905608364945E-4</v>
      </c>
      <c r="G68" s="333">
        <v>0.73340000000000005</v>
      </c>
      <c r="H68" s="333">
        <v>1</v>
      </c>
      <c r="I68" s="333">
        <v>5.9936710022281119E-5</v>
      </c>
      <c r="J68" s="333">
        <v>5.9936710022281119E-5</v>
      </c>
    </row>
    <row r="69" spans="2:10">
      <c r="B69" s="323" t="s">
        <v>399</v>
      </c>
      <c r="C69" s="325">
        <v>1216000</v>
      </c>
      <c r="D69" s="330">
        <v>6.0000000000000001E-3</v>
      </c>
      <c r="E69" s="326">
        <v>7296</v>
      </c>
      <c r="F69" s="333">
        <v>1.8734905608364945E-4</v>
      </c>
      <c r="G69" s="333">
        <v>0.72375</v>
      </c>
      <c r="H69" s="333">
        <v>1</v>
      </c>
      <c r="I69" s="333">
        <v>6.210621209172979E-5</v>
      </c>
      <c r="J69" s="333">
        <v>6.210621209172979E-5</v>
      </c>
    </row>
    <row r="70" spans="2:10">
      <c r="B70" s="323" t="s">
        <v>399</v>
      </c>
      <c r="C70" s="325">
        <v>1216000</v>
      </c>
      <c r="D70" s="330">
        <v>6.0000000000000001E-3</v>
      </c>
      <c r="E70" s="326">
        <v>7296</v>
      </c>
      <c r="F70" s="333">
        <v>1.8734905608364945E-4</v>
      </c>
      <c r="G70" s="333">
        <v>0.71409999999999996</v>
      </c>
      <c r="H70" s="333">
        <v>1</v>
      </c>
      <c r="I70" s="333">
        <v>6.4275714161178454E-5</v>
      </c>
      <c r="J70" s="333">
        <v>6.4275714161178454E-5</v>
      </c>
    </row>
    <row r="71" spans="2:10">
      <c r="B71" s="323" t="s">
        <v>399</v>
      </c>
      <c r="C71" s="325">
        <v>1216000</v>
      </c>
      <c r="D71" s="330">
        <v>6.0000000000000001E-3</v>
      </c>
      <c r="E71" s="326">
        <v>7296</v>
      </c>
      <c r="F71" s="333">
        <v>1.8734905608364945E-4</v>
      </c>
      <c r="G71" s="333">
        <v>0.70445000000000002</v>
      </c>
      <c r="H71" s="333">
        <v>1</v>
      </c>
      <c r="I71" s="333">
        <v>6.6445216230627104E-5</v>
      </c>
      <c r="J71" s="333">
        <v>6.6445216230627104E-5</v>
      </c>
    </row>
    <row r="72" spans="2:10">
      <c r="B72" s="323" t="s">
        <v>399</v>
      </c>
      <c r="C72" s="325">
        <v>1216000</v>
      </c>
      <c r="D72" s="330">
        <v>6.0000000000000001E-3</v>
      </c>
      <c r="E72" s="326">
        <v>7296</v>
      </c>
      <c r="F72" s="333">
        <v>1.8734905608364945E-4</v>
      </c>
      <c r="G72" s="333">
        <v>0.69479999999999997</v>
      </c>
      <c r="H72" s="333">
        <v>1</v>
      </c>
      <c r="I72" s="333">
        <v>6.8614718300075782E-5</v>
      </c>
      <c r="J72" s="333">
        <v>6.8614718300075782E-5</v>
      </c>
    </row>
    <row r="73" spans="2:10">
      <c r="B73" s="323" t="s">
        <v>399</v>
      </c>
      <c r="C73" s="325">
        <v>1216000</v>
      </c>
      <c r="D73" s="330">
        <v>6.0000000000000001E-3</v>
      </c>
      <c r="E73" s="326">
        <v>7296</v>
      </c>
      <c r="F73" s="333">
        <v>1.8734905608364945E-4</v>
      </c>
      <c r="G73" s="333">
        <v>0.68514999999999993</v>
      </c>
      <c r="H73" s="333">
        <v>1</v>
      </c>
      <c r="I73" s="333">
        <v>7.0784220369524446E-5</v>
      </c>
      <c r="J73" s="333">
        <v>7.0784220369524446E-5</v>
      </c>
    </row>
    <row r="74" spans="2:10">
      <c r="B74" s="323" t="s">
        <v>399</v>
      </c>
      <c r="C74" s="325">
        <v>1216000</v>
      </c>
      <c r="D74" s="330">
        <v>6.0000000000000001E-3</v>
      </c>
      <c r="E74" s="326">
        <v>7296</v>
      </c>
      <c r="F74" s="333">
        <v>1.8734905608364945E-4</v>
      </c>
      <c r="G74" s="333">
        <v>0.67549999999999999</v>
      </c>
      <c r="H74" s="333">
        <v>1</v>
      </c>
      <c r="I74" s="333">
        <v>7.2953722438973096E-5</v>
      </c>
      <c r="J74" s="333">
        <v>7.2953722438973096E-5</v>
      </c>
    </row>
    <row r="75" spans="2:10">
      <c r="B75" s="323" t="s">
        <v>47</v>
      </c>
      <c r="C75" s="325" t="s">
        <v>47</v>
      </c>
      <c r="D75" s="330"/>
      <c r="E75" s="326" t="s">
        <v>47</v>
      </c>
      <c r="F75" s="333" t="s">
        <v>47</v>
      </c>
      <c r="G75" s="333"/>
      <c r="H75" s="333"/>
      <c r="I75" s="333" t="s">
        <v>47</v>
      </c>
      <c r="J75" s="333"/>
    </row>
    <row r="76" spans="2:10">
      <c r="B76" s="323" t="s">
        <v>400</v>
      </c>
      <c r="C76" s="325">
        <v>5896000</v>
      </c>
      <c r="D76" s="330">
        <v>0.08</v>
      </c>
      <c r="E76" s="326">
        <v>471680</v>
      </c>
      <c r="F76" s="333">
        <v>1.211195213453067E-2</v>
      </c>
      <c r="G76" s="333">
        <v>0.892625</v>
      </c>
      <c r="H76" s="333">
        <v>0.94</v>
      </c>
      <c r="I76" s="333">
        <v>6.8856447884806777E-4</v>
      </c>
      <c r="J76" s="333">
        <v>6.8856447884806777E-4</v>
      </c>
    </row>
    <row r="77" spans="2:10">
      <c r="B77" s="323" t="s">
        <v>400</v>
      </c>
      <c r="C77" s="325">
        <v>5896000</v>
      </c>
      <c r="D77" s="330">
        <v>0.08</v>
      </c>
      <c r="E77" s="326">
        <v>471680</v>
      </c>
      <c r="F77" s="333">
        <v>1.211195213453067E-2</v>
      </c>
      <c r="G77" s="333">
        <v>0.89745000000000008</v>
      </c>
      <c r="H77" s="333">
        <v>0.94</v>
      </c>
      <c r="I77" s="333">
        <v>6.1843627598913409E-4</v>
      </c>
      <c r="J77" s="333">
        <v>6.1843627598913409E-4</v>
      </c>
    </row>
    <row r="78" spans="2:10">
      <c r="B78" s="323" t="s">
        <v>400</v>
      </c>
      <c r="C78" s="325">
        <v>5896000</v>
      </c>
      <c r="D78" s="330">
        <v>0.08</v>
      </c>
      <c r="E78" s="326">
        <v>471680</v>
      </c>
      <c r="F78" s="333">
        <v>1.211195213453067E-2</v>
      </c>
      <c r="G78" s="333">
        <v>0.90227500000000005</v>
      </c>
      <c r="H78" s="333">
        <v>0.94</v>
      </c>
      <c r="I78" s="333">
        <v>5.4830807313020194E-4</v>
      </c>
      <c r="J78" s="333">
        <v>5.4830807313020194E-4</v>
      </c>
    </row>
    <row r="79" spans="2:10">
      <c r="B79" s="323" t="s">
        <v>400</v>
      </c>
      <c r="C79" s="325">
        <v>5896000</v>
      </c>
      <c r="D79" s="330">
        <v>0.08</v>
      </c>
      <c r="E79" s="326">
        <v>471680</v>
      </c>
      <c r="F79" s="333">
        <v>1.211195213453067E-2</v>
      </c>
      <c r="G79" s="333">
        <v>0.90709999999999991</v>
      </c>
      <c r="H79" s="333">
        <v>0.94</v>
      </c>
      <c r="I79" s="333">
        <v>4.7817987027127141E-4</v>
      </c>
      <c r="J79" s="333">
        <v>4.7817987027127141E-4</v>
      </c>
    </row>
    <row r="80" spans="2:10">
      <c r="B80" s="323" t="s">
        <v>400</v>
      </c>
      <c r="C80" s="325">
        <v>5896000</v>
      </c>
      <c r="D80" s="330">
        <v>0.08</v>
      </c>
      <c r="E80" s="326">
        <v>471680</v>
      </c>
      <c r="F80" s="333">
        <v>1.211195213453067E-2</v>
      </c>
      <c r="G80" s="333">
        <v>0.91192499999999999</v>
      </c>
      <c r="H80" s="333">
        <v>0.94</v>
      </c>
      <c r="I80" s="333">
        <v>4.0805166741233768E-4</v>
      </c>
      <c r="J80" s="333">
        <v>4.0805166741233768E-4</v>
      </c>
    </row>
    <row r="81" spans="2:10">
      <c r="B81" s="323" t="s">
        <v>400</v>
      </c>
      <c r="C81" s="325">
        <v>5896000</v>
      </c>
      <c r="D81" s="330">
        <v>0.08</v>
      </c>
      <c r="E81" s="326">
        <v>471680</v>
      </c>
      <c r="F81" s="333">
        <v>1.211195213453067E-2</v>
      </c>
      <c r="G81" s="333">
        <v>0.91674999999999995</v>
      </c>
      <c r="H81" s="333">
        <v>0.94</v>
      </c>
      <c r="I81" s="333">
        <v>3.3792346455340557E-4</v>
      </c>
      <c r="J81" s="333">
        <v>3.3792346455340557E-4</v>
      </c>
    </row>
    <row r="82" spans="2:10">
      <c r="B82" s="323" t="s">
        <v>400</v>
      </c>
      <c r="C82" s="325">
        <v>5896000</v>
      </c>
      <c r="D82" s="330">
        <v>0.08</v>
      </c>
      <c r="E82" s="326">
        <v>471680</v>
      </c>
      <c r="F82" s="333">
        <v>1.211195213453067E-2</v>
      </c>
      <c r="G82" s="333">
        <v>0.92157499999999992</v>
      </c>
      <c r="H82" s="333">
        <v>0.94</v>
      </c>
      <c r="I82" s="333">
        <v>2.6779526169447347E-4</v>
      </c>
      <c r="J82" s="333">
        <v>2.6779526169447347E-4</v>
      </c>
    </row>
    <row r="83" spans="2:10">
      <c r="B83" s="323" t="s">
        <v>400</v>
      </c>
      <c r="C83" s="325">
        <v>5896000</v>
      </c>
      <c r="D83" s="330">
        <v>0.08</v>
      </c>
      <c r="E83" s="326">
        <v>471680</v>
      </c>
      <c r="F83" s="333">
        <v>1.211195213453067E-2</v>
      </c>
      <c r="G83" s="333">
        <v>0.9264</v>
      </c>
      <c r="H83" s="333">
        <v>0.94</v>
      </c>
      <c r="I83" s="333">
        <v>1.9766705883553974E-4</v>
      </c>
      <c r="J83" s="333">
        <v>1.9766705883553974E-4</v>
      </c>
    </row>
    <row r="84" spans="2:10">
      <c r="B84" s="323" t="s">
        <v>400</v>
      </c>
      <c r="C84" s="325">
        <v>5896000</v>
      </c>
      <c r="D84" s="330">
        <v>0.08</v>
      </c>
      <c r="E84" s="326">
        <v>471680</v>
      </c>
      <c r="F84" s="333">
        <v>1.211195213453067E-2</v>
      </c>
      <c r="G84" s="333">
        <v>0.93122499999999997</v>
      </c>
      <c r="H84" s="333">
        <v>0.94</v>
      </c>
      <c r="I84" s="333">
        <v>1.2753885597660761E-4</v>
      </c>
      <c r="J84" s="333">
        <v>1.2753885597660761E-4</v>
      </c>
    </row>
    <row r="85" spans="2:10">
      <c r="B85" s="323" t="s">
        <v>400</v>
      </c>
      <c r="C85" s="325">
        <v>5896000</v>
      </c>
      <c r="D85" s="330">
        <v>0.08</v>
      </c>
      <c r="E85" s="326">
        <v>471680</v>
      </c>
      <c r="F85" s="333">
        <v>1.211195213453067E-2</v>
      </c>
      <c r="G85" s="333">
        <v>0.93604999999999994</v>
      </c>
      <c r="H85" s="333">
        <v>0.94</v>
      </c>
      <c r="I85" s="333">
        <v>5.741065311767551E-5</v>
      </c>
      <c r="J85" s="333">
        <v>5.741065311767551E-5</v>
      </c>
    </row>
    <row r="86" spans="2:10">
      <c r="B86" s="323" t="s">
        <v>400</v>
      </c>
      <c r="C86" s="325">
        <v>5896000</v>
      </c>
      <c r="D86" s="330">
        <v>1.3999999999999999E-2</v>
      </c>
      <c r="E86" s="326">
        <v>82543.999999999985</v>
      </c>
      <c r="F86" s="333">
        <v>2.1195916235428667E-3</v>
      </c>
      <c r="G86" s="333">
        <v>0.85885</v>
      </c>
      <c r="H86" s="333">
        <v>0.94</v>
      </c>
      <c r="I86" s="333">
        <v>2.0640583230060422E-4</v>
      </c>
      <c r="J86" s="333">
        <v>2.0640583230060422E-4</v>
      </c>
    </row>
    <row r="87" spans="2:10">
      <c r="B87" s="323" t="s">
        <v>400</v>
      </c>
      <c r="C87" s="325">
        <v>5896000</v>
      </c>
      <c r="D87" s="330">
        <v>1.3999999999999999E-2</v>
      </c>
      <c r="E87" s="326">
        <v>82543.999999999985</v>
      </c>
      <c r="F87" s="333">
        <v>2.1195916235428667E-3</v>
      </c>
      <c r="G87" s="333">
        <v>0.84919999999999995</v>
      </c>
      <c r="H87" s="333">
        <v>0.94</v>
      </c>
      <c r="I87" s="333">
        <v>2.3095070330123073E-4</v>
      </c>
      <c r="J87" s="333">
        <v>2.3095070330123073E-4</v>
      </c>
    </row>
    <row r="88" spans="2:10">
      <c r="B88" s="323" t="s">
        <v>400</v>
      </c>
      <c r="C88" s="325">
        <v>5896000</v>
      </c>
      <c r="D88" s="330">
        <v>1.3999999999999999E-2</v>
      </c>
      <c r="E88" s="326">
        <v>82543.999999999985</v>
      </c>
      <c r="F88" s="333">
        <v>2.1195916235428667E-3</v>
      </c>
      <c r="G88" s="333">
        <v>0.83955000000000002</v>
      </c>
      <c r="H88" s="333">
        <v>0.94</v>
      </c>
      <c r="I88" s="333">
        <v>2.55495574301857E-4</v>
      </c>
      <c r="J88" s="333">
        <v>2.55495574301857E-4</v>
      </c>
    </row>
    <row r="89" spans="2:10">
      <c r="B89" s="323" t="s">
        <v>400</v>
      </c>
      <c r="C89" s="325">
        <v>5896000</v>
      </c>
      <c r="D89" s="330">
        <v>1.3999999999999999E-2</v>
      </c>
      <c r="E89" s="326">
        <v>82543.999999999985</v>
      </c>
      <c r="F89" s="333">
        <v>2.1195916235428667E-3</v>
      </c>
      <c r="G89" s="333">
        <v>0.82989999999999997</v>
      </c>
      <c r="H89" s="333">
        <v>0.94</v>
      </c>
      <c r="I89" s="333">
        <v>2.8004044530248348E-4</v>
      </c>
      <c r="J89" s="333">
        <v>2.8004044530248348E-4</v>
      </c>
    </row>
    <row r="90" spans="2:10">
      <c r="B90" s="323" t="s">
        <v>400</v>
      </c>
      <c r="C90" s="325">
        <v>5896000</v>
      </c>
      <c r="D90" s="330">
        <v>1.3999999999999999E-2</v>
      </c>
      <c r="E90" s="326">
        <v>82543.999999999985</v>
      </c>
      <c r="F90" s="333">
        <v>2.1195916235428667E-3</v>
      </c>
      <c r="G90" s="333">
        <v>0.82024999999999992</v>
      </c>
      <c r="H90" s="333">
        <v>0.94</v>
      </c>
      <c r="I90" s="333">
        <v>3.0458531630311002E-4</v>
      </c>
      <c r="J90" s="333">
        <v>3.0458531630311002E-4</v>
      </c>
    </row>
    <row r="91" spans="2:10">
      <c r="B91" s="323" t="s">
        <v>400</v>
      </c>
      <c r="C91" s="325">
        <v>5896000</v>
      </c>
      <c r="D91" s="330">
        <v>1.3999999999999999E-2</v>
      </c>
      <c r="E91" s="326">
        <v>82543.999999999985</v>
      </c>
      <c r="F91" s="333">
        <v>2.1195916235428667E-3</v>
      </c>
      <c r="G91" s="333">
        <v>0.81059999999999999</v>
      </c>
      <c r="H91" s="333">
        <v>0.94</v>
      </c>
      <c r="I91" s="333">
        <v>3.2913018730373623E-4</v>
      </c>
      <c r="J91" s="333">
        <v>3.2913018730373623E-4</v>
      </c>
    </row>
    <row r="92" spans="2:10">
      <c r="B92" s="323" t="s">
        <v>400</v>
      </c>
      <c r="C92" s="325">
        <v>5896000</v>
      </c>
      <c r="D92" s="330">
        <v>1.3999999999999999E-2</v>
      </c>
      <c r="E92" s="326">
        <v>82543.999999999985</v>
      </c>
      <c r="F92" s="333">
        <v>2.1195916235428667E-3</v>
      </c>
      <c r="G92" s="333">
        <v>0.80094999999999994</v>
      </c>
      <c r="H92" s="333">
        <v>0.94</v>
      </c>
      <c r="I92" s="333">
        <v>3.5367505830436277E-4</v>
      </c>
      <c r="J92" s="333">
        <v>3.5367505830436277E-4</v>
      </c>
    </row>
    <row r="93" spans="2:10">
      <c r="B93" s="323" t="s">
        <v>400</v>
      </c>
      <c r="C93" s="325">
        <v>5896000</v>
      </c>
      <c r="D93" s="330">
        <v>1.3999999999999999E-2</v>
      </c>
      <c r="E93" s="326">
        <v>82543.999999999985</v>
      </c>
      <c r="F93" s="333">
        <v>2.1195916235428667E-3</v>
      </c>
      <c r="G93" s="333">
        <v>0.7913</v>
      </c>
      <c r="H93" s="333">
        <v>0.94</v>
      </c>
      <c r="I93" s="333">
        <v>3.7821992930498898E-4</v>
      </c>
      <c r="J93" s="333">
        <v>3.7821992930498898E-4</v>
      </c>
    </row>
    <row r="94" spans="2:10">
      <c r="B94" s="323" t="s">
        <v>400</v>
      </c>
      <c r="C94" s="325">
        <v>5896000</v>
      </c>
      <c r="D94" s="330">
        <v>1.3999999999999999E-2</v>
      </c>
      <c r="E94" s="326">
        <v>82543.999999999985</v>
      </c>
      <c r="F94" s="333">
        <v>2.1195916235428667E-3</v>
      </c>
      <c r="G94" s="333">
        <v>0.78165000000000007</v>
      </c>
      <c r="H94" s="333">
        <v>0.94</v>
      </c>
      <c r="I94" s="333">
        <v>4.0276480030561524E-4</v>
      </c>
      <c r="J94" s="333">
        <v>4.0276480030561524E-4</v>
      </c>
    </row>
    <row r="95" spans="2:10">
      <c r="B95" s="323" t="s">
        <v>400</v>
      </c>
      <c r="C95" s="325">
        <v>5896000</v>
      </c>
      <c r="D95" s="330">
        <v>1.3999999999999999E-2</v>
      </c>
      <c r="E95" s="326">
        <v>82543.999999999985</v>
      </c>
      <c r="F95" s="333">
        <v>2.1195916235428667E-3</v>
      </c>
      <c r="G95" s="333">
        <v>0.77200000000000002</v>
      </c>
      <c r="H95" s="333">
        <v>0.94</v>
      </c>
      <c r="I95" s="333">
        <v>4.2730967130624173E-4</v>
      </c>
      <c r="J95" s="333">
        <v>4.2730967130624173E-4</v>
      </c>
    </row>
    <row r="96" spans="2:10">
      <c r="B96" s="323" t="s">
        <v>400</v>
      </c>
      <c r="C96" s="325">
        <v>5896000</v>
      </c>
      <c r="D96" s="330">
        <v>6.0000000000000001E-3</v>
      </c>
      <c r="E96" s="326">
        <v>35376</v>
      </c>
      <c r="F96" s="333">
        <v>9.0839641008980023E-4</v>
      </c>
      <c r="G96" s="333">
        <v>0.76235000000000008</v>
      </c>
      <c r="H96" s="333">
        <v>0.94</v>
      </c>
      <c r="I96" s="333">
        <v>1.9365194670294348E-4</v>
      </c>
      <c r="J96" s="333">
        <v>1.9365194670294348E-4</v>
      </c>
    </row>
    <row r="97" spans="2:10">
      <c r="B97" s="323" t="s">
        <v>400</v>
      </c>
      <c r="C97" s="325">
        <v>5896000</v>
      </c>
      <c r="D97" s="330">
        <v>6.0000000000000001E-3</v>
      </c>
      <c r="E97" s="326">
        <v>35376</v>
      </c>
      <c r="F97" s="333">
        <v>9.0839641008980023E-4</v>
      </c>
      <c r="G97" s="333">
        <v>0.75270000000000004</v>
      </c>
      <c r="H97" s="333">
        <v>0.94</v>
      </c>
      <c r="I97" s="333">
        <v>2.041711771317834E-4</v>
      </c>
      <c r="J97" s="333">
        <v>2.041711771317834E-4</v>
      </c>
    </row>
    <row r="98" spans="2:10">
      <c r="B98" s="323" t="s">
        <v>400</v>
      </c>
      <c r="C98" s="325">
        <v>5896000</v>
      </c>
      <c r="D98" s="330">
        <v>6.0000000000000001E-3</v>
      </c>
      <c r="E98" s="326">
        <v>35376</v>
      </c>
      <c r="F98" s="333">
        <v>9.0839641008980023E-4</v>
      </c>
      <c r="G98" s="333">
        <v>0.74304999999999999</v>
      </c>
      <c r="H98" s="333">
        <v>0.94</v>
      </c>
      <c r="I98" s="333">
        <v>2.1469040756062334E-4</v>
      </c>
      <c r="J98" s="333">
        <v>2.1469040756062334E-4</v>
      </c>
    </row>
    <row r="99" spans="2:10">
      <c r="B99" s="323" t="s">
        <v>400</v>
      </c>
      <c r="C99" s="325">
        <v>5896000</v>
      </c>
      <c r="D99" s="330">
        <v>6.0000000000000001E-3</v>
      </c>
      <c r="E99" s="326">
        <v>35376</v>
      </c>
      <c r="F99" s="333">
        <v>9.0839641008980023E-4</v>
      </c>
      <c r="G99" s="333">
        <v>0.73340000000000005</v>
      </c>
      <c r="H99" s="333">
        <v>0.94</v>
      </c>
      <c r="I99" s="333">
        <v>2.2520963798946313E-4</v>
      </c>
      <c r="J99" s="333">
        <v>2.2520963798946313E-4</v>
      </c>
    </row>
    <row r="100" spans="2:10">
      <c r="B100" s="323" t="s">
        <v>400</v>
      </c>
      <c r="C100" s="325">
        <v>5896000</v>
      </c>
      <c r="D100" s="330">
        <v>6.0000000000000001E-3</v>
      </c>
      <c r="E100" s="326">
        <v>35376</v>
      </c>
      <c r="F100" s="333">
        <v>9.0839641008980023E-4</v>
      </c>
      <c r="G100" s="333">
        <v>0.72375</v>
      </c>
      <c r="H100" s="333">
        <v>0.94</v>
      </c>
      <c r="I100" s="333">
        <v>2.3572886841830308E-4</v>
      </c>
      <c r="J100" s="333">
        <v>2.3572886841830308E-4</v>
      </c>
    </row>
    <row r="101" spans="2:10">
      <c r="B101" s="323" t="s">
        <v>400</v>
      </c>
      <c r="C101" s="325">
        <v>5896000</v>
      </c>
      <c r="D101" s="330">
        <v>6.0000000000000001E-3</v>
      </c>
      <c r="E101" s="326">
        <v>35376</v>
      </c>
      <c r="F101" s="333">
        <v>9.0839641008980023E-4</v>
      </c>
      <c r="G101" s="333">
        <v>0.71409999999999996</v>
      </c>
      <c r="H101" s="333">
        <v>0.94</v>
      </c>
      <c r="I101" s="333">
        <v>2.46248098847143E-4</v>
      </c>
      <c r="J101" s="333">
        <v>2.46248098847143E-4</v>
      </c>
    </row>
    <row r="102" spans="2:10">
      <c r="B102" s="323" t="s">
        <v>400</v>
      </c>
      <c r="C102" s="325">
        <v>5896000</v>
      </c>
      <c r="D102" s="330">
        <v>6.0000000000000001E-3</v>
      </c>
      <c r="E102" s="326">
        <v>35376</v>
      </c>
      <c r="F102" s="333">
        <v>9.0839641008980023E-4</v>
      </c>
      <c r="G102" s="333">
        <v>0.70445000000000002</v>
      </c>
      <c r="H102" s="333">
        <v>0.94</v>
      </c>
      <c r="I102" s="333">
        <v>2.5676732927598281E-4</v>
      </c>
      <c r="J102" s="333">
        <v>2.5676732927598281E-4</v>
      </c>
    </row>
    <row r="103" spans="2:10">
      <c r="B103" s="323" t="s">
        <v>400</v>
      </c>
      <c r="C103" s="325">
        <v>5896000</v>
      </c>
      <c r="D103" s="330">
        <v>6.0000000000000001E-3</v>
      </c>
      <c r="E103" s="326">
        <v>35376</v>
      </c>
      <c r="F103" s="333">
        <v>9.0839641008980023E-4</v>
      </c>
      <c r="G103" s="333">
        <v>0.69479999999999997</v>
      </c>
      <c r="H103" s="333">
        <v>0.94</v>
      </c>
      <c r="I103" s="333">
        <v>2.6728655970482279E-4</v>
      </c>
      <c r="J103" s="333">
        <v>2.6728655970482279E-4</v>
      </c>
    </row>
    <row r="104" spans="2:10">
      <c r="B104" s="323" t="s">
        <v>400</v>
      </c>
      <c r="C104" s="325">
        <v>5896000</v>
      </c>
      <c r="D104" s="330">
        <v>6.0000000000000001E-3</v>
      </c>
      <c r="E104" s="326">
        <v>35376</v>
      </c>
      <c r="F104" s="333">
        <v>9.0839641008980023E-4</v>
      </c>
      <c r="G104" s="333">
        <v>0.68514999999999993</v>
      </c>
      <c r="H104" s="333">
        <v>0.94</v>
      </c>
      <c r="I104" s="333">
        <v>2.7780579013366271E-4</v>
      </c>
      <c r="J104" s="333">
        <v>2.7780579013366271E-4</v>
      </c>
    </row>
    <row r="105" spans="2:10">
      <c r="B105" s="323" t="s">
        <v>400</v>
      </c>
      <c r="C105" s="325">
        <v>5896000</v>
      </c>
      <c r="D105" s="330">
        <v>6.0000000000000001E-3</v>
      </c>
      <c r="E105" s="326">
        <v>35376</v>
      </c>
      <c r="F105" s="333">
        <v>9.0839641008980023E-4</v>
      </c>
      <c r="G105" s="333">
        <v>0.67549999999999999</v>
      </c>
      <c r="H105" s="333">
        <v>0.94</v>
      </c>
      <c r="I105" s="333">
        <v>2.8832502056250252E-4</v>
      </c>
      <c r="J105" s="333">
        <v>2.8832502056250252E-4</v>
      </c>
    </row>
    <row r="106" spans="2:10">
      <c r="B106" s="323" t="s">
        <v>47</v>
      </c>
      <c r="D106" s="330"/>
      <c r="E106" s="326" t="s">
        <v>47</v>
      </c>
      <c r="F106" s="333" t="s">
        <v>47</v>
      </c>
      <c r="G106" s="333"/>
      <c r="H106" s="333"/>
      <c r="I106" s="333" t="s">
        <v>47</v>
      </c>
      <c r="J106" s="333"/>
    </row>
    <row r="107" spans="2:10">
      <c r="B107" s="323" t="s">
        <v>401</v>
      </c>
      <c r="C107" s="325">
        <v>11409000</v>
      </c>
      <c r="D107" s="330">
        <v>0.08</v>
      </c>
      <c r="E107" s="326">
        <v>912720</v>
      </c>
      <c r="F107" s="333">
        <v>2.3437120404148647E-2</v>
      </c>
      <c r="G107" s="333">
        <v>0.892625</v>
      </c>
      <c r="H107" s="333">
        <v>0.85</v>
      </c>
      <c r="I107" s="333">
        <v>-1.198808708672204E-3</v>
      </c>
      <c r="J107" s="333">
        <v>0</v>
      </c>
    </row>
    <row r="108" spans="2:10">
      <c r="B108" s="323" t="s">
        <v>401</v>
      </c>
      <c r="C108" s="325">
        <v>11409000</v>
      </c>
      <c r="D108" s="330">
        <v>0.08</v>
      </c>
      <c r="E108" s="326">
        <v>912720</v>
      </c>
      <c r="F108" s="333">
        <v>2.3437120404148647E-2</v>
      </c>
      <c r="G108" s="333">
        <v>0.89745000000000008</v>
      </c>
      <c r="H108" s="333">
        <v>0.85</v>
      </c>
      <c r="I108" s="333">
        <v>-1.3345096358122269E-3</v>
      </c>
      <c r="J108" s="333">
        <v>0</v>
      </c>
    </row>
    <row r="109" spans="2:10">
      <c r="B109" s="323" t="s">
        <v>401</v>
      </c>
      <c r="C109" s="325">
        <v>11409000</v>
      </c>
      <c r="D109" s="330">
        <v>0.08</v>
      </c>
      <c r="E109" s="326">
        <v>912720</v>
      </c>
      <c r="F109" s="333">
        <v>2.3437120404148647E-2</v>
      </c>
      <c r="G109" s="333">
        <v>0.90227500000000005</v>
      </c>
      <c r="H109" s="333">
        <v>0.85</v>
      </c>
      <c r="I109" s="333">
        <v>-1.4702105629522465E-3</v>
      </c>
      <c r="J109" s="333">
        <v>0</v>
      </c>
    </row>
    <row r="110" spans="2:10">
      <c r="B110" s="323" t="s">
        <v>401</v>
      </c>
      <c r="C110" s="325">
        <v>11409000</v>
      </c>
      <c r="D110" s="330">
        <v>0.08</v>
      </c>
      <c r="E110" s="326">
        <v>912720</v>
      </c>
      <c r="F110" s="333">
        <v>2.3437120404148647E-2</v>
      </c>
      <c r="G110" s="333">
        <v>0.90709999999999991</v>
      </c>
      <c r="H110" s="333">
        <v>0.85</v>
      </c>
      <c r="I110" s="333">
        <v>-1.6059114900922632E-3</v>
      </c>
      <c r="J110" s="333">
        <v>0</v>
      </c>
    </row>
    <row r="111" spans="2:10">
      <c r="B111" s="323" t="s">
        <v>401</v>
      </c>
      <c r="C111" s="325">
        <v>11409000</v>
      </c>
      <c r="D111" s="330">
        <v>0.08</v>
      </c>
      <c r="E111" s="326">
        <v>912720</v>
      </c>
      <c r="F111" s="333">
        <v>2.3437120404148647E-2</v>
      </c>
      <c r="G111" s="333">
        <v>0.91192499999999999</v>
      </c>
      <c r="H111" s="333">
        <v>0.85</v>
      </c>
      <c r="I111" s="333">
        <v>-1.7416124172322861E-3</v>
      </c>
      <c r="J111" s="333">
        <v>0</v>
      </c>
    </row>
    <row r="112" spans="2:10">
      <c r="B112" s="323" t="s">
        <v>401</v>
      </c>
      <c r="C112" s="325">
        <v>11409000</v>
      </c>
      <c r="D112" s="330">
        <v>0.08</v>
      </c>
      <c r="E112" s="326">
        <v>912720</v>
      </c>
      <c r="F112" s="333">
        <v>2.3437120404148647E-2</v>
      </c>
      <c r="G112" s="333">
        <v>0.91674999999999995</v>
      </c>
      <c r="H112" s="333">
        <v>0.85</v>
      </c>
      <c r="I112" s="333">
        <v>-1.8773133443723061E-3</v>
      </c>
      <c r="J112" s="333">
        <v>0</v>
      </c>
    </row>
    <row r="113" spans="2:10">
      <c r="B113" s="323" t="s">
        <v>401</v>
      </c>
      <c r="C113" s="325">
        <v>11409000</v>
      </c>
      <c r="D113" s="330">
        <v>0.08</v>
      </c>
      <c r="E113" s="326">
        <v>912720</v>
      </c>
      <c r="F113" s="333">
        <v>2.3437120404148647E-2</v>
      </c>
      <c r="G113" s="333">
        <v>0.92157499999999992</v>
      </c>
      <c r="H113" s="333">
        <v>0.85</v>
      </c>
      <c r="I113" s="333">
        <v>-2.0130142715123257E-3</v>
      </c>
      <c r="J113" s="333">
        <v>0</v>
      </c>
    </row>
    <row r="114" spans="2:10">
      <c r="B114" s="323" t="s">
        <v>401</v>
      </c>
      <c r="C114" s="325">
        <v>11409000</v>
      </c>
      <c r="D114" s="330">
        <v>0.08</v>
      </c>
      <c r="E114" s="326">
        <v>912720</v>
      </c>
      <c r="F114" s="333">
        <v>2.3437120404148647E-2</v>
      </c>
      <c r="G114" s="333">
        <v>0.9264</v>
      </c>
      <c r="H114" s="333">
        <v>0.85</v>
      </c>
      <c r="I114" s="333">
        <v>-2.1487151986523483E-3</v>
      </c>
      <c r="J114" s="333">
        <v>0</v>
      </c>
    </row>
    <row r="115" spans="2:10">
      <c r="B115" s="323" t="s">
        <v>401</v>
      </c>
      <c r="C115" s="325">
        <v>11409000</v>
      </c>
      <c r="D115" s="330">
        <v>0.08</v>
      </c>
      <c r="E115" s="326">
        <v>912720</v>
      </c>
      <c r="F115" s="333">
        <v>2.3437120404148647E-2</v>
      </c>
      <c r="G115" s="333">
        <v>0.93122499999999997</v>
      </c>
      <c r="H115" s="333">
        <v>0.85</v>
      </c>
      <c r="I115" s="333">
        <v>-2.2844161257923683E-3</v>
      </c>
      <c r="J115" s="333">
        <v>0</v>
      </c>
    </row>
    <row r="116" spans="2:10">
      <c r="B116" s="323" t="s">
        <v>401</v>
      </c>
      <c r="C116" s="325">
        <v>11409000</v>
      </c>
      <c r="D116" s="330">
        <v>0.08</v>
      </c>
      <c r="E116" s="326">
        <v>912720</v>
      </c>
      <c r="F116" s="333">
        <v>2.3437120404148647E-2</v>
      </c>
      <c r="G116" s="333">
        <v>0.93604999999999994</v>
      </c>
      <c r="H116" s="333">
        <v>0.85</v>
      </c>
      <c r="I116" s="333">
        <v>-2.4201170529323883E-3</v>
      </c>
      <c r="J116" s="333">
        <v>0</v>
      </c>
    </row>
    <row r="117" spans="2:10">
      <c r="B117" s="323" t="s">
        <v>401</v>
      </c>
      <c r="C117" s="325">
        <v>11409000</v>
      </c>
      <c r="D117" s="330">
        <v>1.3999999999999999E-2</v>
      </c>
      <c r="E117" s="326">
        <v>159725.99999999997</v>
      </c>
      <c r="F117" s="333">
        <v>4.1014960707260123E-3</v>
      </c>
      <c r="G117" s="333">
        <v>0.85885</v>
      </c>
      <c r="H117" s="333">
        <v>0.85</v>
      </c>
      <c r="I117" s="333">
        <v>-4.355788827111037E-5</v>
      </c>
      <c r="J117" s="333">
        <v>0</v>
      </c>
    </row>
    <row r="118" spans="2:10">
      <c r="B118" s="323" t="s">
        <v>401</v>
      </c>
      <c r="C118" s="325">
        <v>11409000</v>
      </c>
      <c r="D118" s="330">
        <v>1.3999999999999999E-2</v>
      </c>
      <c r="E118" s="326">
        <v>159725.99999999997</v>
      </c>
      <c r="F118" s="333">
        <v>4.1014960707260123E-3</v>
      </c>
      <c r="G118" s="333">
        <v>0.84919999999999995</v>
      </c>
      <c r="H118" s="333">
        <v>0.85</v>
      </c>
      <c r="I118" s="333">
        <v>3.9374362278970841E-6</v>
      </c>
      <c r="J118" s="333">
        <v>3.9374362278970841E-6</v>
      </c>
    </row>
    <row r="119" spans="2:10">
      <c r="B119" s="323" t="s">
        <v>401</v>
      </c>
      <c r="C119" s="325">
        <v>11409000</v>
      </c>
      <c r="D119" s="330">
        <v>1.3999999999999999E-2</v>
      </c>
      <c r="E119" s="326">
        <v>159725.99999999997</v>
      </c>
      <c r="F119" s="333">
        <v>4.1014960707260123E-3</v>
      </c>
      <c r="G119" s="333">
        <v>0.83955000000000002</v>
      </c>
      <c r="H119" s="333">
        <v>0.85</v>
      </c>
      <c r="I119" s="333">
        <v>5.1432760726903994E-5</v>
      </c>
      <c r="J119" s="333">
        <v>5.1432760726903994E-5</v>
      </c>
    </row>
    <row r="120" spans="2:10">
      <c r="B120" s="323" t="s">
        <v>401</v>
      </c>
      <c r="C120" s="325">
        <v>11409000</v>
      </c>
      <c r="D120" s="330">
        <v>1.3999999999999999E-2</v>
      </c>
      <c r="E120" s="326">
        <v>159725.99999999997</v>
      </c>
      <c r="F120" s="333">
        <v>4.1014960707260123E-3</v>
      </c>
      <c r="G120" s="333">
        <v>0.82989999999999997</v>
      </c>
      <c r="H120" s="333">
        <v>0.85</v>
      </c>
      <c r="I120" s="333">
        <v>9.8928085225911451E-5</v>
      </c>
      <c r="J120" s="333">
        <v>9.8928085225911451E-5</v>
      </c>
    </row>
    <row r="121" spans="2:10">
      <c r="B121" s="323" t="s">
        <v>401</v>
      </c>
      <c r="C121" s="325">
        <v>11409000</v>
      </c>
      <c r="D121" s="330">
        <v>1.3999999999999999E-2</v>
      </c>
      <c r="E121" s="326">
        <v>159725.99999999997</v>
      </c>
      <c r="F121" s="333">
        <v>4.1014960707260123E-3</v>
      </c>
      <c r="G121" s="333">
        <v>0.82024999999999992</v>
      </c>
      <c r="H121" s="333">
        <v>0.85</v>
      </c>
      <c r="I121" s="333">
        <v>1.4642340972491891E-4</v>
      </c>
      <c r="J121" s="333">
        <v>1.4642340972491891E-4</v>
      </c>
    </row>
    <row r="122" spans="2:10">
      <c r="B122" s="323" t="s">
        <v>401</v>
      </c>
      <c r="C122" s="325">
        <v>11409000</v>
      </c>
      <c r="D122" s="330">
        <v>1.3999999999999999E-2</v>
      </c>
      <c r="E122" s="326">
        <v>159725.99999999997</v>
      </c>
      <c r="F122" s="333">
        <v>4.1014960707260123E-3</v>
      </c>
      <c r="G122" s="333">
        <v>0.81059999999999999</v>
      </c>
      <c r="H122" s="333">
        <v>0.85</v>
      </c>
      <c r="I122" s="333">
        <v>1.9391873422392581E-4</v>
      </c>
      <c r="J122" s="333">
        <v>1.9391873422392581E-4</v>
      </c>
    </row>
    <row r="123" spans="2:10">
      <c r="B123" s="323" t="s">
        <v>401</v>
      </c>
      <c r="C123" s="325">
        <v>11409000</v>
      </c>
      <c r="D123" s="330">
        <v>1.3999999999999999E-2</v>
      </c>
      <c r="E123" s="326">
        <v>159725.99999999997</v>
      </c>
      <c r="F123" s="333">
        <v>4.1014960707260123E-3</v>
      </c>
      <c r="G123" s="333">
        <v>0.80094999999999994</v>
      </c>
      <c r="H123" s="333">
        <v>0.85</v>
      </c>
      <c r="I123" s="333">
        <v>2.4141405872293324E-4</v>
      </c>
      <c r="J123" s="333">
        <v>2.4141405872293324E-4</v>
      </c>
    </row>
    <row r="124" spans="2:10">
      <c r="B124" s="323" t="s">
        <v>401</v>
      </c>
      <c r="C124" s="325">
        <v>11409000</v>
      </c>
      <c r="D124" s="330">
        <v>1.3999999999999999E-2</v>
      </c>
      <c r="E124" s="326">
        <v>159725.99999999997</v>
      </c>
      <c r="F124" s="333">
        <v>4.1014960707260123E-3</v>
      </c>
      <c r="G124" s="333">
        <v>0.7913</v>
      </c>
      <c r="H124" s="333">
        <v>0.85</v>
      </c>
      <c r="I124" s="333">
        <v>2.8890938322194019E-4</v>
      </c>
      <c r="J124" s="333">
        <v>2.8890938322194019E-4</v>
      </c>
    </row>
    <row r="125" spans="2:10">
      <c r="B125" s="323" t="s">
        <v>401</v>
      </c>
      <c r="C125" s="325">
        <v>11409000</v>
      </c>
      <c r="D125" s="330">
        <v>1.3999999999999999E-2</v>
      </c>
      <c r="E125" s="326">
        <v>159725.99999999997</v>
      </c>
      <c r="F125" s="333">
        <v>4.1014960707260123E-3</v>
      </c>
      <c r="G125" s="333">
        <v>0.78165000000000007</v>
      </c>
      <c r="H125" s="333">
        <v>0.85</v>
      </c>
      <c r="I125" s="333">
        <v>3.3640470772094711E-4</v>
      </c>
      <c r="J125" s="333">
        <v>3.3640470772094711E-4</v>
      </c>
    </row>
    <row r="126" spans="2:10">
      <c r="B126" s="323" t="s">
        <v>401</v>
      </c>
      <c r="C126" s="325">
        <v>11409000</v>
      </c>
      <c r="D126" s="330">
        <v>1.3999999999999999E-2</v>
      </c>
      <c r="E126" s="326">
        <v>159725.99999999997</v>
      </c>
      <c r="F126" s="333">
        <v>4.1014960707260123E-3</v>
      </c>
      <c r="G126" s="333">
        <v>0.77200000000000002</v>
      </c>
      <c r="H126" s="333">
        <v>0.85</v>
      </c>
      <c r="I126" s="333">
        <v>3.8390003221995452E-4</v>
      </c>
      <c r="J126" s="333">
        <v>3.8390003221995452E-4</v>
      </c>
    </row>
    <row r="127" spans="2:10">
      <c r="B127" s="323" t="s">
        <v>401</v>
      </c>
      <c r="C127" s="325">
        <v>11409000</v>
      </c>
      <c r="D127" s="330">
        <v>6.0000000000000001E-3</v>
      </c>
      <c r="E127" s="326">
        <v>68454</v>
      </c>
      <c r="F127" s="333">
        <v>1.7577840303111484E-3</v>
      </c>
      <c r="G127" s="333">
        <v>0.76235000000000008</v>
      </c>
      <c r="H127" s="333">
        <v>0.85</v>
      </c>
      <c r="I127" s="333">
        <v>1.8488372430812636E-4</v>
      </c>
      <c r="J127" s="333">
        <v>1.8488372430812636E-4</v>
      </c>
    </row>
    <row r="128" spans="2:10">
      <c r="B128" s="323" t="s">
        <v>401</v>
      </c>
      <c r="C128" s="325">
        <v>11409000</v>
      </c>
      <c r="D128" s="330">
        <v>6.0000000000000001E-3</v>
      </c>
      <c r="E128" s="326">
        <v>68454</v>
      </c>
      <c r="F128" s="333">
        <v>1.7577840303111484E-3</v>
      </c>
      <c r="G128" s="333">
        <v>0.75270000000000004</v>
      </c>
      <c r="H128" s="333">
        <v>0.85</v>
      </c>
      <c r="I128" s="333">
        <v>2.0523886337912956E-4</v>
      </c>
      <c r="J128" s="333">
        <v>2.0523886337912956E-4</v>
      </c>
    </row>
    <row r="129" spans="2:10">
      <c r="B129" s="323" t="s">
        <v>401</v>
      </c>
      <c r="C129" s="325">
        <v>11409000</v>
      </c>
      <c r="D129" s="330">
        <v>6.0000000000000001E-3</v>
      </c>
      <c r="E129" s="326">
        <v>68454</v>
      </c>
      <c r="F129" s="333">
        <v>1.7577840303111484E-3</v>
      </c>
      <c r="G129" s="333">
        <v>0.74304999999999999</v>
      </c>
      <c r="H129" s="333">
        <v>0.85</v>
      </c>
      <c r="I129" s="333">
        <v>2.2559400245013276E-4</v>
      </c>
      <c r="J129" s="333">
        <v>2.2559400245013276E-4</v>
      </c>
    </row>
    <row r="130" spans="2:10">
      <c r="B130" s="323" t="s">
        <v>401</v>
      </c>
      <c r="C130" s="325">
        <v>11409000</v>
      </c>
      <c r="D130" s="330">
        <v>6.0000000000000001E-3</v>
      </c>
      <c r="E130" s="326">
        <v>68454</v>
      </c>
      <c r="F130" s="333">
        <v>1.7577840303111484E-3</v>
      </c>
      <c r="G130" s="333">
        <v>0.73340000000000005</v>
      </c>
      <c r="H130" s="333">
        <v>0.85</v>
      </c>
      <c r="I130" s="333">
        <v>2.4594914152113571E-4</v>
      </c>
      <c r="J130" s="333">
        <v>2.4594914152113571E-4</v>
      </c>
    </row>
    <row r="131" spans="2:10">
      <c r="B131" s="323" t="s">
        <v>401</v>
      </c>
      <c r="C131" s="325">
        <v>11409000</v>
      </c>
      <c r="D131" s="330">
        <v>6.0000000000000001E-3</v>
      </c>
      <c r="E131" s="326">
        <v>68454</v>
      </c>
      <c r="F131" s="333">
        <v>1.7577840303111484E-3</v>
      </c>
      <c r="G131" s="333">
        <v>0.72375</v>
      </c>
      <c r="H131" s="333">
        <v>0.85</v>
      </c>
      <c r="I131" s="333">
        <v>2.6630428059213891E-4</v>
      </c>
      <c r="J131" s="333">
        <v>2.6630428059213891E-4</v>
      </c>
    </row>
    <row r="132" spans="2:10">
      <c r="B132" s="323" t="s">
        <v>401</v>
      </c>
      <c r="C132" s="325">
        <v>11409000</v>
      </c>
      <c r="D132" s="330">
        <v>6.0000000000000001E-3</v>
      </c>
      <c r="E132" s="326">
        <v>68454</v>
      </c>
      <c r="F132" s="333">
        <v>1.7577840303111484E-3</v>
      </c>
      <c r="G132" s="333">
        <v>0.71409999999999996</v>
      </c>
      <c r="H132" s="333">
        <v>0.85</v>
      </c>
      <c r="I132" s="333">
        <v>2.8665941966314211E-4</v>
      </c>
      <c r="J132" s="333">
        <v>2.8665941966314211E-4</v>
      </c>
    </row>
    <row r="133" spans="2:10">
      <c r="B133" s="323" t="s">
        <v>401</v>
      </c>
      <c r="C133" s="325">
        <v>11409000</v>
      </c>
      <c r="D133" s="330">
        <v>6.0000000000000001E-3</v>
      </c>
      <c r="E133" s="326">
        <v>68454</v>
      </c>
      <c r="F133" s="333">
        <v>1.7577840303111484E-3</v>
      </c>
      <c r="G133" s="333">
        <v>0.70445000000000002</v>
      </c>
      <c r="H133" s="333">
        <v>0.85</v>
      </c>
      <c r="I133" s="333">
        <v>3.0701455873414504E-4</v>
      </c>
      <c r="J133" s="333">
        <v>3.0701455873414504E-4</v>
      </c>
    </row>
    <row r="134" spans="2:10">
      <c r="B134" s="323" t="s">
        <v>401</v>
      </c>
      <c r="C134" s="325">
        <v>11409000</v>
      </c>
      <c r="D134" s="330">
        <v>6.0000000000000001E-3</v>
      </c>
      <c r="E134" s="326">
        <v>68454</v>
      </c>
      <c r="F134" s="333">
        <v>1.7577840303111484E-3</v>
      </c>
      <c r="G134" s="333">
        <v>0.69479999999999997</v>
      </c>
      <c r="H134" s="333">
        <v>0.85</v>
      </c>
      <c r="I134" s="333">
        <v>3.2736969780514823E-4</v>
      </c>
      <c r="J134" s="333">
        <v>3.2736969780514823E-4</v>
      </c>
    </row>
    <row r="135" spans="2:10">
      <c r="B135" s="323" t="s">
        <v>401</v>
      </c>
      <c r="C135" s="325">
        <v>11409000</v>
      </c>
      <c r="D135" s="330">
        <v>6.0000000000000001E-3</v>
      </c>
      <c r="E135" s="326">
        <v>68454</v>
      </c>
      <c r="F135" s="333">
        <v>1.7577840303111484E-3</v>
      </c>
      <c r="G135" s="333">
        <v>0.68514999999999993</v>
      </c>
      <c r="H135" s="333">
        <v>0.85</v>
      </c>
      <c r="I135" s="333">
        <v>3.4772483687615143E-4</v>
      </c>
      <c r="J135" s="333">
        <v>3.4772483687615143E-4</v>
      </c>
    </row>
    <row r="136" spans="2:10">
      <c r="B136" s="323" t="s">
        <v>401</v>
      </c>
      <c r="C136" s="325">
        <v>11409000</v>
      </c>
      <c r="D136" s="330">
        <v>6.0000000000000001E-3</v>
      </c>
      <c r="E136" s="326">
        <v>68454</v>
      </c>
      <c r="F136" s="333">
        <v>1.7577840303111484E-3</v>
      </c>
      <c r="G136" s="333">
        <v>0.67549999999999999</v>
      </c>
      <c r="H136" s="333">
        <v>0.85</v>
      </c>
      <c r="I136" s="333">
        <v>3.6807997594715447E-4</v>
      </c>
      <c r="J136" s="333">
        <v>3.6807997594715447E-4</v>
      </c>
    </row>
    <row r="137" spans="2:10">
      <c r="B137" s="323" t="s">
        <v>47</v>
      </c>
      <c r="E137" s="326" t="s">
        <v>47</v>
      </c>
      <c r="F137" s="333" t="s">
        <v>47</v>
      </c>
      <c r="G137" s="333"/>
      <c r="H137" s="333"/>
      <c r="I137" s="333" t="s">
        <v>47</v>
      </c>
      <c r="J137" s="333"/>
    </row>
    <row r="138" spans="2:10">
      <c r="B138" s="323" t="s">
        <v>402</v>
      </c>
      <c r="E138" s="326" t="s">
        <v>47</v>
      </c>
      <c r="F138" s="333" t="s">
        <v>47</v>
      </c>
      <c r="G138" s="333"/>
      <c r="H138" s="333"/>
      <c r="I138" s="333" t="s">
        <v>47</v>
      </c>
      <c r="J138" s="333"/>
    </row>
    <row r="139" spans="2:10">
      <c r="B139" s="323" t="s">
        <v>399</v>
      </c>
      <c r="E139" s="325">
        <v>8779</v>
      </c>
      <c r="F139" s="333">
        <v>2.254300114252136E-4</v>
      </c>
      <c r="G139" s="333">
        <v>0.55000000000000004</v>
      </c>
      <c r="H139" s="333">
        <v>1</v>
      </c>
      <c r="I139" s="333">
        <v>1.2173220616961532E-4</v>
      </c>
      <c r="J139" s="333">
        <v>1.2173220616961532E-4</v>
      </c>
    </row>
    <row r="140" spans="2:10">
      <c r="B140" s="323" t="s">
        <v>400</v>
      </c>
      <c r="E140" s="325">
        <v>55707</v>
      </c>
      <c r="F140" s="333">
        <v>1.4304624269807923E-3</v>
      </c>
      <c r="G140" s="333">
        <v>0.55000000000000004</v>
      </c>
      <c r="H140" s="333">
        <v>0.94</v>
      </c>
      <c r="I140" s="333">
        <v>6.6945641582701065E-4</v>
      </c>
      <c r="J140" s="333">
        <v>6.6945641582701065E-4</v>
      </c>
    </row>
    <row r="141" spans="2:10">
      <c r="B141" s="323" t="s">
        <v>403</v>
      </c>
      <c r="E141" s="325">
        <v>27731</v>
      </c>
      <c r="F141" s="333">
        <v>7.1208561873021973E-4</v>
      </c>
      <c r="G141" s="333">
        <v>0.55000000000000004</v>
      </c>
      <c r="H141" s="333">
        <v>0.85</v>
      </c>
      <c r="I141" s="333">
        <v>2.56350822742879E-4</v>
      </c>
      <c r="J141" s="333">
        <v>2.56350822742879E-4</v>
      </c>
    </row>
    <row r="142" spans="2:10">
      <c r="F142" s="333" t="s">
        <v>47</v>
      </c>
      <c r="G142" s="333"/>
      <c r="H142" s="333"/>
      <c r="I142" s="333" t="s">
        <v>47</v>
      </c>
      <c r="J142" s="333" t="s">
        <v>47</v>
      </c>
    </row>
    <row r="143" spans="2:10">
      <c r="B143" s="323" t="s">
        <v>404</v>
      </c>
      <c r="F143" s="333" t="s">
        <v>47</v>
      </c>
      <c r="G143" s="333"/>
      <c r="H143" s="333"/>
      <c r="I143" s="333" t="s">
        <v>47</v>
      </c>
      <c r="J143" s="333" t="s">
        <v>47</v>
      </c>
    </row>
    <row r="144" spans="2:10">
      <c r="B144" s="323" t="s">
        <v>399</v>
      </c>
      <c r="E144" s="325">
        <v>10405</v>
      </c>
      <c r="F144" s="333">
        <v>2.6718296718069798E-4</v>
      </c>
      <c r="G144" s="333">
        <v>0.62</v>
      </c>
      <c r="H144" s="333">
        <v>1</v>
      </c>
      <c r="I144" s="333">
        <v>1.2183543303439829E-4</v>
      </c>
      <c r="J144" s="333">
        <v>1.2183543303439829E-4</v>
      </c>
    </row>
    <row r="145" spans="2:10">
      <c r="B145" s="323" t="s">
        <v>400</v>
      </c>
      <c r="E145" s="325">
        <v>101150</v>
      </c>
      <c r="F145" s="333">
        <v>2.597362530545661E-3</v>
      </c>
      <c r="G145" s="333">
        <v>0.62</v>
      </c>
      <c r="H145" s="333">
        <v>0.94</v>
      </c>
      <c r="I145" s="333">
        <v>9.9738721172953362E-4</v>
      </c>
      <c r="J145" s="333">
        <v>9.9738721172953362E-4</v>
      </c>
    </row>
    <row r="146" spans="2:10">
      <c r="B146" s="323" t="s">
        <v>403</v>
      </c>
      <c r="E146" s="325">
        <v>75398</v>
      </c>
      <c r="F146" s="333">
        <v>1.9360943161451482E-3</v>
      </c>
      <c r="G146" s="333">
        <v>0.62</v>
      </c>
      <c r="H146" s="333">
        <v>0.85</v>
      </c>
      <c r="I146" s="333">
        <v>5.3436203125606081E-4</v>
      </c>
      <c r="J146" s="333">
        <v>5.3436203125606081E-4</v>
      </c>
    </row>
    <row r="147" spans="2:10">
      <c r="F147" s="333" t="s">
        <v>47</v>
      </c>
      <c r="G147" s="333"/>
      <c r="H147" s="333"/>
      <c r="I147" s="333" t="s">
        <v>47</v>
      </c>
      <c r="J147" s="333" t="s">
        <v>47</v>
      </c>
    </row>
    <row r="148" spans="2:10">
      <c r="B148" s="323" t="s">
        <v>405</v>
      </c>
      <c r="F148" s="333" t="s">
        <v>47</v>
      </c>
      <c r="G148" s="333"/>
      <c r="H148" s="333"/>
      <c r="I148" s="333" t="s">
        <v>47</v>
      </c>
      <c r="J148" s="333" t="s">
        <v>47</v>
      </c>
    </row>
    <row r="149" spans="2:10">
      <c r="B149" s="327" t="s">
        <v>399</v>
      </c>
      <c r="E149" s="325">
        <v>22140</v>
      </c>
      <c r="F149" s="333">
        <v>5.6851810604331124E-4</v>
      </c>
      <c r="G149" s="333">
        <v>0.61</v>
      </c>
      <c r="H149" s="333">
        <v>1</v>
      </c>
      <c r="I149" s="333">
        <v>2.6606647362826966E-4</v>
      </c>
      <c r="J149" s="333">
        <v>2.6606647362826966E-4</v>
      </c>
    </row>
    <row r="150" spans="2:10">
      <c r="B150" s="327" t="s">
        <v>400</v>
      </c>
      <c r="E150" s="325">
        <v>291428</v>
      </c>
      <c r="F150" s="333">
        <v>7.4833827736219558E-3</v>
      </c>
      <c r="G150" s="333">
        <v>0.61</v>
      </c>
      <c r="H150" s="333">
        <v>0.94</v>
      </c>
      <c r="I150" s="333">
        <v>2.9634195783542938E-3</v>
      </c>
      <c r="J150" s="333">
        <v>2.9634195783542938E-3</v>
      </c>
    </row>
    <row r="151" spans="2:10">
      <c r="B151" s="327" t="s">
        <v>403</v>
      </c>
      <c r="E151" s="325">
        <v>165645</v>
      </c>
      <c r="F151" s="333">
        <v>4.2534860738728227E-3</v>
      </c>
      <c r="G151" s="333">
        <v>0.61</v>
      </c>
      <c r="H151" s="333">
        <v>0.85</v>
      </c>
      <c r="I151" s="333">
        <v>1.2250039892753729E-3</v>
      </c>
      <c r="J151" s="333">
        <v>1.2250039892753729E-3</v>
      </c>
    </row>
    <row r="152" spans="2:10">
      <c r="F152" s="333" t="s">
        <v>47</v>
      </c>
      <c r="G152" s="333"/>
      <c r="H152" s="333"/>
      <c r="I152" s="333" t="s">
        <v>47</v>
      </c>
      <c r="J152" s="333" t="s">
        <v>47</v>
      </c>
    </row>
    <row r="153" spans="2:10">
      <c r="B153" s="323" t="s">
        <v>406</v>
      </c>
      <c r="F153" s="333" t="s">
        <v>47</v>
      </c>
      <c r="G153" s="333"/>
      <c r="H153" s="333"/>
      <c r="I153" s="333" t="s">
        <v>47</v>
      </c>
      <c r="J153" s="333" t="s">
        <v>47</v>
      </c>
    </row>
    <row r="154" spans="2:10">
      <c r="B154" s="327" t="s">
        <v>399</v>
      </c>
      <c r="E154" s="325">
        <v>14604</v>
      </c>
      <c r="F154" s="333">
        <v>3.7500625206217332E-4</v>
      </c>
      <c r="G154" s="333">
        <v>0.7</v>
      </c>
      <c r="H154" s="333">
        <v>1</v>
      </c>
      <c r="I154" s="333">
        <v>1.350022507423824E-4</v>
      </c>
      <c r="J154" s="333">
        <v>1.350022507423824E-4</v>
      </c>
    </row>
    <row r="155" spans="2:10">
      <c r="B155" s="327" t="s">
        <v>400</v>
      </c>
      <c r="E155" s="325">
        <v>193406</v>
      </c>
      <c r="F155" s="333">
        <v>4.966342042340228E-3</v>
      </c>
      <c r="G155" s="333">
        <v>0.7</v>
      </c>
      <c r="H155" s="333">
        <v>0.94</v>
      </c>
      <c r="I155" s="333">
        <v>1.4303065081939855E-3</v>
      </c>
      <c r="J155" s="333">
        <v>1.4303065081939855E-3</v>
      </c>
    </row>
    <row r="156" spans="2:10">
      <c r="B156" s="327" t="s">
        <v>403</v>
      </c>
      <c r="E156" s="325">
        <v>99026</v>
      </c>
      <c r="F156" s="333">
        <v>2.5428217691528879E-3</v>
      </c>
      <c r="G156" s="333">
        <v>0.7</v>
      </c>
      <c r="H156" s="333">
        <v>0.85</v>
      </c>
      <c r="I156" s="333">
        <v>4.5770791844751987E-4</v>
      </c>
      <c r="J156" s="333">
        <v>4.5770791844751987E-4</v>
      </c>
    </row>
    <row r="157" spans="2:10">
      <c r="F157" s="333" t="s">
        <v>47</v>
      </c>
      <c r="G157" s="333"/>
      <c r="H157" s="333"/>
      <c r="I157" s="333" t="s">
        <v>47</v>
      </c>
      <c r="J157" s="333" t="s">
        <v>47</v>
      </c>
    </row>
    <row r="158" spans="2:10">
      <c r="B158" s="323" t="s">
        <v>407</v>
      </c>
      <c r="F158" s="333" t="s">
        <v>47</v>
      </c>
      <c r="G158" s="333"/>
      <c r="H158" s="333"/>
      <c r="I158" s="333" t="s">
        <v>47</v>
      </c>
      <c r="J158" s="333" t="s">
        <v>47</v>
      </c>
    </row>
    <row r="159" spans="2:10">
      <c r="B159" s="327" t="s">
        <v>399</v>
      </c>
      <c r="E159" s="325">
        <v>0</v>
      </c>
      <c r="F159" s="333" t="s">
        <v>47</v>
      </c>
      <c r="G159" s="333"/>
      <c r="H159" s="333">
        <v>1</v>
      </c>
      <c r="I159" s="333" t="s">
        <v>47</v>
      </c>
      <c r="J159" s="333" t="s">
        <v>47</v>
      </c>
    </row>
    <row r="160" spans="2:10">
      <c r="B160" s="327" t="s">
        <v>400</v>
      </c>
      <c r="E160" s="325">
        <v>108130</v>
      </c>
      <c r="F160" s="333">
        <v>2.776597236064284E-3</v>
      </c>
      <c r="G160" s="333">
        <v>0.73</v>
      </c>
      <c r="H160" s="333">
        <v>0.94</v>
      </c>
      <c r="I160" s="333">
        <v>6.9970250348819945E-4</v>
      </c>
      <c r="J160" s="333">
        <v>6.9970250348819945E-4</v>
      </c>
    </row>
    <row r="161" spans="2:10">
      <c r="B161" s="327" t="s">
        <v>403</v>
      </c>
      <c r="E161" s="325">
        <v>0</v>
      </c>
      <c r="F161" s="333" t="s">
        <v>47</v>
      </c>
      <c r="G161" s="333"/>
      <c r="H161" s="333">
        <v>0.85</v>
      </c>
      <c r="I161" s="333" t="s">
        <v>47</v>
      </c>
      <c r="J161" s="333" t="s">
        <v>47</v>
      </c>
    </row>
    <row r="162" spans="2:10">
      <c r="F162" s="333" t="s">
        <v>47</v>
      </c>
      <c r="G162" s="333"/>
      <c r="H162" s="333"/>
      <c r="I162" s="333" t="s">
        <v>47</v>
      </c>
      <c r="J162" s="333" t="s">
        <v>47</v>
      </c>
    </row>
    <row r="163" spans="2:10">
      <c r="B163" s="323" t="s">
        <v>408</v>
      </c>
      <c r="F163" s="333"/>
      <c r="G163" s="333"/>
      <c r="H163" s="333"/>
      <c r="I163" s="333">
        <v>0</v>
      </c>
      <c r="J163" s="333" t="s">
        <v>47</v>
      </c>
    </row>
    <row r="164" spans="2:10">
      <c r="B164" s="327" t="s">
        <v>399</v>
      </c>
      <c r="E164" s="325">
        <v>0</v>
      </c>
      <c r="F164" s="333">
        <v>0</v>
      </c>
      <c r="G164" s="333">
        <v>0.87</v>
      </c>
      <c r="H164" s="333">
        <v>1</v>
      </c>
      <c r="I164" s="333">
        <v>0</v>
      </c>
      <c r="J164" s="333">
        <v>0</v>
      </c>
    </row>
    <row r="165" spans="2:10">
      <c r="B165" s="327" t="s">
        <v>400</v>
      </c>
      <c r="E165" s="325">
        <v>290410</v>
      </c>
      <c r="F165" s="333">
        <v>7.4572422392067761E-3</v>
      </c>
      <c r="G165" s="333">
        <v>0.87</v>
      </c>
      <c r="H165" s="333">
        <v>0.94</v>
      </c>
      <c r="I165" s="333">
        <v>6.2640834809336876E-4</v>
      </c>
      <c r="J165" s="333">
        <v>6.2640834809336876E-4</v>
      </c>
    </row>
    <row r="166" spans="2:10">
      <c r="B166" s="327" t="s">
        <v>403</v>
      </c>
      <c r="E166" s="325">
        <v>0</v>
      </c>
      <c r="F166" s="333">
        <v>0</v>
      </c>
      <c r="G166" s="333">
        <v>0.87</v>
      </c>
      <c r="H166" s="333">
        <v>0.85</v>
      </c>
      <c r="I166" s="333">
        <v>0</v>
      </c>
      <c r="J166" s="333">
        <v>0</v>
      </c>
    </row>
    <row r="167" spans="2:10">
      <c r="F167" s="333" t="s">
        <v>47</v>
      </c>
      <c r="G167" s="333"/>
      <c r="H167" s="333"/>
      <c r="I167" s="333" t="s">
        <v>47</v>
      </c>
      <c r="J167" s="333" t="s">
        <v>47</v>
      </c>
    </row>
    <row r="168" spans="2:10">
      <c r="B168" s="323" t="s">
        <v>409</v>
      </c>
      <c r="C168" s="324"/>
      <c r="F168" s="333" t="s">
        <v>47</v>
      </c>
      <c r="G168" s="333"/>
      <c r="H168" s="333"/>
      <c r="I168" s="333" t="s">
        <v>47</v>
      </c>
      <c r="J168" s="333" t="s">
        <v>47</v>
      </c>
    </row>
    <row r="169" spans="2:10">
      <c r="B169" s="327" t="s">
        <v>399</v>
      </c>
      <c r="E169" s="325">
        <v>16880</v>
      </c>
      <c r="F169" s="333">
        <v>4.334501187900223E-4</v>
      </c>
      <c r="G169" s="333">
        <v>0.94</v>
      </c>
      <c r="H169" s="333">
        <v>1</v>
      </c>
      <c r="I169" s="333">
        <v>3.1208408552881633E-5</v>
      </c>
      <c r="J169" s="333">
        <v>3.1208408552881633E-5</v>
      </c>
    </row>
    <row r="170" spans="2:10">
      <c r="B170" s="327" t="s">
        <v>400</v>
      </c>
      <c r="E170" s="325">
        <v>177110</v>
      </c>
      <c r="F170" s="333">
        <v>4.5478880651007615E-3</v>
      </c>
      <c r="G170" s="333">
        <v>0.94</v>
      </c>
      <c r="H170" s="333">
        <v>0.94</v>
      </c>
      <c r="I170" s="333">
        <v>0</v>
      </c>
      <c r="J170" s="333">
        <v>0</v>
      </c>
    </row>
    <row r="171" spans="2:10">
      <c r="B171" s="327" t="s">
        <v>403</v>
      </c>
      <c r="E171" s="325">
        <v>0</v>
      </c>
      <c r="F171" s="333">
        <v>0</v>
      </c>
      <c r="G171" s="333">
        <v>0.94</v>
      </c>
      <c r="H171" s="333">
        <v>0.85</v>
      </c>
      <c r="I171" s="333">
        <v>0</v>
      </c>
      <c r="J171" s="333">
        <v>0</v>
      </c>
    </row>
    <row r="172" spans="2:10">
      <c r="F172" s="333" t="s">
        <v>47</v>
      </c>
      <c r="G172" s="333"/>
      <c r="H172" s="333"/>
      <c r="I172" s="333" t="s">
        <v>47</v>
      </c>
      <c r="J172" s="333" t="s">
        <v>47</v>
      </c>
    </row>
    <row r="173" spans="2:10">
      <c r="B173" s="323" t="s">
        <v>410</v>
      </c>
      <c r="F173" s="333" t="s">
        <v>47</v>
      </c>
      <c r="G173" s="333"/>
      <c r="H173" s="333"/>
      <c r="I173" s="333" t="s">
        <v>47</v>
      </c>
      <c r="J173" s="333" t="s">
        <v>47</v>
      </c>
    </row>
    <row r="174" spans="2:10">
      <c r="B174" s="327" t="s">
        <v>399</v>
      </c>
      <c r="E174" s="325">
        <v>14135</v>
      </c>
      <c r="F174" s="333">
        <v>3.6296311783749795E-4</v>
      </c>
      <c r="G174" s="333">
        <v>0.8</v>
      </c>
      <c r="H174" s="333">
        <v>1</v>
      </c>
      <c r="I174" s="333">
        <v>8.7111148280999485E-5</v>
      </c>
      <c r="J174" s="333">
        <v>8.7111148280999485E-5</v>
      </c>
    </row>
    <row r="175" spans="2:10">
      <c r="B175" s="327" t="s">
        <v>400</v>
      </c>
      <c r="E175" s="325">
        <v>153637</v>
      </c>
      <c r="F175" s="333">
        <v>3.945140752401816E-3</v>
      </c>
      <c r="G175" s="333">
        <v>0.8</v>
      </c>
      <c r="H175" s="333">
        <v>0.94</v>
      </c>
      <c r="I175" s="333">
        <v>6.6278364640350452E-4</v>
      </c>
      <c r="J175" s="333">
        <v>6.6278364640350452E-4</v>
      </c>
    </row>
    <row r="176" spans="2:10">
      <c r="B176" s="327" t="s">
        <v>403</v>
      </c>
      <c r="E176" s="325">
        <v>86637</v>
      </c>
      <c r="F176" s="333">
        <v>2.2246930060196186E-3</v>
      </c>
      <c r="G176" s="333">
        <v>0.8</v>
      </c>
      <c r="H176" s="333">
        <v>0.85</v>
      </c>
      <c r="I176" s="333">
        <v>1.3348158036117694E-4</v>
      </c>
      <c r="J176" s="333">
        <v>1.3348158036117694E-4</v>
      </c>
    </row>
    <row r="177" spans="2:10">
      <c r="F177" s="333" t="s">
        <v>47</v>
      </c>
      <c r="G177" s="333"/>
      <c r="H177" s="333"/>
      <c r="I177" s="333" t="s">
        <v>47</v>
      </c>
      <c r="J177" s="333" t="s">
        <v>47</v>
      </c>
    </row>
    <row r="178" spans="2:10">
      <c r="B178" s="323" t="s">
        <v>411</v>
      </c>
      <c r="F178" s="333" t="s">
        <v>47</v>
      </c>
      <c r="G178" s="333"/>
      <c r="H178" s="333"/>
      <c r="I178" s="333" t="s">
        <v>47</v>
      </c>
      <c r="J178" s="333" t="s">
        <v>47</v>
      </c>
    </row>
    <row r="179" spans="2:10">
      <c r="B179" s="327" t="s">
        <v>399</v>
      </c>
      <c r="E179" s="325">
        <v>6278.93</v>
      </c>
      <c r="F179" s="333">
        <v>1.6123240251032198E-4</v>
      </c>
      <c r="G179" s="333">
        <v>0.9</v>
      </c>
      <c r="H179" s="333">
        <v>1</v>
      </c>
      <c r="I179" s="333">
        <v>1.9347888301238633E-5</v>
      </c>
      <c r="J179" s="333">
        <v>1.9347888301238633E-5</v>
      </c>
    </row>
    <row r="180" spans="2:10">
      <c r="B180" s="327" t="s">
        <v>400</v>
      </c>
      <c r="E180" s="325">
        <v>53701.52</v>
      </c>
      <c r="F180" s="333">
        <v>1.3789650606163956E-3</v>
      </c>
      <c r="G180" s="333">
        <v>0.9</v>
      </c>
      <c r="H180" s="333">
        <v>0.94</v>
      </c>
      <c r="I180" s="333">
        <v>6.6190322909586861E-5</v>
      </c>
      <c r="J180" s="333">
        <v>6.6190322909586861E-5</v>
      </c>
    </row>
    <row r="181" spans="2:10">
      <c r="B181" s="327" t="s">
        <v>403</v>
      </c>
      <c r="E181" s="325">
        <v>31012.28</v>
      </c>
      <c r="F181" s="333">
        <v>7.9634339158468203E-4</v>
      </c>
      <c r="G181" s="333">
        <v>0.9</v>
      </c>
      <c r="H181" s="333">
        <v>0.85</v>
      </c>
      <c r="I181" s="333">
        <v>-4.7780603495080962E-5</v>
      </c>
      <c r="J181" s="333">
        <v>-4.7780603495080962E-5</v>
      </c>
    </row>
    <row r="182" spans="2:10">
      <c r="F182" s="333" t="s">
        <v>47</v>
      </c>
      <c r="G182" s="333"/>
      <c r="H182" s="333"/>
      <c r="I182" s="333" t="s">
        <v>47</v>
      </c>
      <c r="J182" s="333" t="s">
        <v>47</v>
      </c>
    </row>
    <row r="183" spans="2:10">
      <c r="B183" s="323" t="s">
        <v>412</v>
      </c>
      <c r="F183" s="333" t="s">
        <v>47</v>
      </c>
      <c r="G183" s="333"/>
      <c r="H183" s="333"/>
      <c r="I183" s="333" t="s">
        <v>47</v>
      </c>
      <c r="J183" s="333" t="s">
        <v>47</v>
      </c>
    </row>
    <row r="184" spans="2:10">
      <c r="B184" s="327" t="s">
        <v>399</v>
      </c>
      <c r="E184" s="325">
        <v>7650000</v>
      </c>
      <c r="F184" s="333">
        <v>0.19643918298244495</v>
      </c>
      <c r="G184" s="333">
        <v>1</v>
      </c>
      <c r="H184" s="333">
        <v>1</v>
      </c>
      <c r="I184" s="333">
        <v>0</v>
      </c>
      <c r="J184" s="333">
        <v>0</v>
      </c>
    </row>
    <row r="185" spans="2:10">
      <c r="B185" s="327" t="s">
        <v>400</v>
      </c>
      <c r="E185" s="325">
        <v>1500000</v>
      </c>
      <c r="F185" s="333">
        <v>3.8517486859302931E-2</v>
      </c>
      <c r="G185" s="333">
        <v>1</v>
      </c>
      <c r="H185" s="333">
        <v>0.94</v>
      </c>
      <c r="I185" s="333">
        <v>-2.7732590538698137E-3</v>
      </c>
      <c r="J185" s="333">
        <v>-2.7732590538698137E-3</v>
      </c>
    </row>
    <row r="186" spans="2:10">
      <c r="B186" s="327" t="s">
        <v>403</v>
      </c>
      <c r="E186" s="325">
        <v>0</v>
      </c>
      <c r="F186" s="333">
        <v>0</v>
      </c>
      <c r="G186" s="333">
        <v>1</v>
      </c>
      <c r="H186" s="333">
        <v>0.85</v>
      </c>
      <c r="I186" s="333">
        <v>0</v>
      </c>
      <c r="J186" s="333">
        <v>0</v>
      </c>
    </row>
    <row r="187" spans="2:10">
      <c r="F187" s="333" t="s">
        <v>47</v>
      </c>
      <c r="G187" s="333"/>
      <c r="H187" s="333"/>
      <c r="I187" s="333" t="s">
        <v>47</v>
      </c>
      <c r="J187" s="333" t="s">
        <v>47</v>
      </c>
    </row>
    <row r="188" spans="2:10">
      <c r="B188" s="323" t="s">
        <v>413</v>
      </c>
      <c r="F188" s="333" t="s">
        <v>47</v>
      </c>
      <c r="G188" s="333"/>
      <c r="H188" s="333"/>
      <c r="I188" s="333" t="s">
        <v>47</v>
      </c>
      <c r="J188" s="333" t="s">
        <v>47</v>
      </c>
    </row>
    <row r="189" spans="2:10">
      <c r="B189" s="327" t="s">
        <v>399</v>
      </c>
      <c r="E189" s="325">
        <v>139581.27714748782</v>
      </c>
      <c r="F189" s="333">
        <v>3.5842133388887215E-3</v>
      </c>
      <c r="G189" s="333">
        <v>0.83299999999999996</v>
      </c>
      <c r="H189" s="333">
        <v>1</v>
      </c>
      <c r="I189" s="333">
        <v>7.1827635311329989E-4</v>
      </c>
      <c r="J189" s="333">
        <v>7.1827635311329989E-4</v>
      </c>
    </row>
    <row r="190" spans="2:10">
      <c r="B190" s="327" t="s">
        <v>400</v>
      </c>
      <c r="E190" s="325">
        <v>341733.47163695301</v>
      </c>
      <c r="F190" s="333">
        <v>8.7751430021068711E-3</v>
      </c>
      <c r="G190" s="333">
        <v>0.83299999999999996</v>
      </c>
      <c r="H190" s="333">
        <v>0.94</v>
      </c>
      <c r="I190" s="333">
        <v>1.1267283614705222E-3</v>
      </c>
      <c r="J190" s="333">
        <v>1.1267283614705222E-3</v>
      </c>
    </row>
    <row r="191" spans="2:10">
      <c r="B191" s="327" t="s">
        <v>403</v>
      </c>
      <c r="E191" s="325">
        <v>261113.25121555914</v>
      </c>
      <c r="F191" s="333">
        <v>6.7049508149901087E-3</v>
      </c>
      <c r="G191" s="333">
        <v>0.83</v>
      </c>
      <c r="H191" s="333">
        <v>0.85</v>
      </c>
      <c r="I191" s="333">
        <v>1.6091881955976274E-4</v>
      </c>
      <c r="J191" s="333">
        <v>1.6091881955976274E-4</v>
      </c>
    </row>
    <row r="192" spans="2:10">
      <c r="E192" s="326" t="s">
        <v>47</v>
      </c>
      <c r="F192" s="333" t="s">
        <v>47</v>
      </c>
      <c r="G192" s="333"/>
      <c r="H192" s="333"/>
      <c r="I192" s="333" t="s">
        <v>47</v>
      </c>
      <c r="J192" s="333" t="s">
        <v>47</v>
      </c>
    </row>
    <row r="193" spans="2:10">
      <c r="B193" s="323" t="s">
        <v>414</v>
      </c>
      <c r="F193" s="333" t="s">
        <v>47</v>
      </c>
      <c r="G193" s="333"/>
      <c r="H193" s="333"/>
      <c r="I193" s="333" t="s">
        <v>47</v>
      </c>
      <c r="J193" s="333" t="s">
        <v>47</v>
      </c>
    </row>
    <row r="194" spans="2:10">
      <c r="B194" s="327" t="s">
        <v>399</v>
      </c>
      <c r="E194" s="325">
        <v>370257.06666666665</v>
      </c>
      <c r="F194" s="333">
        <v>9.507581133264921E-3</v>
      </c>
      <c r="G194" s="333">
        <v>0.95</v>
      </c>
      <c r="H194" s="333">
        <v>1</v>
      </c>
      <c r="I194" s="333">
        <v>5.7045486799589572E-4</v>
      </c>
      <c r="J194" s="333">
        <v>5.7045486799589572E-4</v>
      </c>
    </row>
    <row r="195" spans="2:10">
      <c r="B195" s="327" t="s">
        <v>400</v>
      </c>
      <c r="E195" s="325">
        <v>826767.20000000007</v>
      </c>
      <c r="F195" s="333">
        <v>2.1229996507801788E-2</v>
      </c>
      <c r="G195" s="333">
        <v>0.95</v>
      </c>
      <c r="H195" s="333">
        <v>0.94</v>
      </c>
      <c r="I195" s="333">
        <v>-2.5475995809362166E-4</v>
      </c>
      <c r="J195" s="333">
        <v>-2.5475995809362166E-4</v>
      </c>
    </row>
    <row r="196" spans="2:10">
      <c r="B196" s="327" t="s">
        <v>403</v>
      </c>
      <c r="E196" s="325">
        <v>1327455.7333333334</v>
      </c>
      <c r="F196" s="333">
        <v>3.4086839176648669E-2</v>
      </c>
      <c r="G196" s="333">
        <v>0.95</v>
      </c>
      <c r="H196" s="333">
        <v>0.85</v>
      </c>
      <c r="I196" s="333">
        <v>-4.0904207011978394E-3</v>
      </c>
      <c r="J196" s="333">
        <v>-4.0904207011978394E-3</v>
      </c>
    </row>
    <row r="197" spans="2:10">
      <c r="B197" s="327"/>
      <c r="E197" s="325"/>
      <c r="F197" s="333"/>
      <c r="G197" s="333"/>
      <c r="H197" s="333"/>
      <c r="I197" s="333"/>
      <c r="J197" s="333"/>
    </row>
    <row r="198" spans="2:10">
      <c r="B198" s="323" t="s">
        <v>415</v>
      </c>
      <c r="F198" s="333" t="s">
        <v>47</v>
      </c>
      <c r="G198" s="333"/>
      <c r="H198" s="333"/>
      <c r="I198" s="333" t="s">
        <v>47</v>
      </c>
      <c r="J198" s="333" t="s">
        <v>47</v>
      </c>
    </row>
    <row r="199" spans="2:10">
      <c r="B199" s="327" t="s">
        <v>399</v>
      </c>
      <c r="E199" s="325">
        <v>174400.16</v>
      </c>
      <c r="F199" s="333">
        <v>4.4783039140402188E-3</v>
      </c>
      <c r="G199" s="333">
        <v>0.95</v>
      </c>
      <c r="H199" s="333">
        <v>1</v>
      </c>
      <c r="I199" s="333">
        <v>2.6869823484241336E-4</v>
      </c>
      <c r="J199" s="333">
        <v>2.6869823484241336E-4</v>
      </c>
    </row>
    <row r="200" spans="2:10">
      <c r="B200" s="327" t="s">
        <v>400</v>
      </c>
      <c r="E200" s="325">
        <v>389427.63</v>
      </c>
      <c r="F200" s="333">
        <v>9.9998490807829896E-3</v>
      </c>
      <c r="G200" s="333">
        <v>0.95</v>
      </c>
      <c r="H200" s="333">
        <v>0.94</v>
      </c>
      <c r="I200" s="333">
        <v>-1.1999818896939597E-4</v>
      </c>
      <c r="J200" s="333">
        <v>0</v>
      </c>
    </row>
    <row r="201" spans="2:10">
      <c r="B201" s="327" t="s">
        <v>403</v>
      </c>
      <c r="E201" s="325">
        <v>625264.21000000008</v>
      </c>
      <c r="F201" s="333">
        <v>1.6055737328178287E-2</v>
      </c>
      <c r="G201" s="333">
        <v>0.95</v>
      </c>
      <c r="H201" s="333">
        <v>0.85</v>
      </c>
      <c r="I201" s="333">
        <v>-1.9266884793813941E-3</v>
      </c>
      <c r="J201" s="333">
        <v>0</v>
      </c>
    </row>
    <row r="202" spans="2:10">
      <c r="B202" s="327"/>
      <c r="E202" s="325"/>
      <c r="F202" s="333"/>
      <c r="G202" s="333"/>
      <c r="H202" s="333"/>
      <c r="I202" s="333"/>
      <c r="J202" s="333"/>
    </row>
    <row r="203" spans="2:10">
      <c r="F203" s="333" t="s">
        <v>47</v>
      </c>
      <c r="G203" s="333"/>
      <c r="H203" s="333"/>
      <c r="I203" s="333" t="s">
        <v>47</v>
      </c>
      <c r="J203" s="333" t="s">
        <v>47</v>
      </c>
    </row>
    <row r="204" spans="2:10">
      <c r="B204" s="323" t="s">
        <v>416</v>
      </c>
      <c r="F204" s="333" t="s">
        <v>47</v>
      </c>
      <c r="G204" s="333"/>
      <c r="H204" s="333"/>
      <c r="I204" s="333" t="s">
        <v>47</v>
      </c>
      <c r="J204" s="333" t="s">
        <v>47</v>
      </c>
    </row>
    <row r="205" spans="2:10">
      <c r="B205" s="327" t="s">
        <v>399</v>
      </c>
      <c r="E205" s="325">
        <v>1059000</v>
      </c>
      <c r="F205" s="333">
        <v>2.7193345722667867E-2</v>
      </c>
      <c r="G205" s="333">
        <v>1</v>
      </c>
      <c r="H205" s="333">
        <v>1</v>
      </c>
      <c r="I205" s="333">
        <v>0</v>
      </c>
      <c r="J205" s="333">
        <v>0</v>
      </c>
    </row>
    <row r="206" spans="2:10">
      <c r="B206" s="327" t="s">
        <v>400</v>
      </c>
      <c r="E206" s="325">
        <v>436000</v>
      </c>
      <c r="F206" s="333">
        <v>1.1195749513770718E-2</v>
      </c>
      <c r="G206" s="333">
        <v>1</v>
      </c>
      <c r="H206" s="333">
        <v>0.94</v>
      </c>
      <c r="I206" s="333">
        <v>-8.0609396499149233E-4</v>
      </c>
      <c r="J206" s="333">
        <v>-8.0609396499149233E-4</v>
      </c>
    </row>
    <row r="207" spans="2:10">
      <c r="B207" s="327" t="s">
        <v>403</v>
      </c>
      <c r="E207" s="325">
        <v>85000</v>
      </c>
      <c r="F207" s="333">
        <v>2.1826575886938326E-3</v>
      </c>
      <c r="G207" s="333">
        <v>1</v>
      </c>
      <c r="H207" s="333">
        <v>0.85</v>
      </c>
      <c r="I207" s="333">
        <v>-3.9287836596488989E-4</v>
      </c>
      <c r="J207" s="333">
        <v>-3.9287836596488989E-4</v>
      </c>
    </row>
    <row r="208" spans="2:10">
      <c r="E208" s="326" t="s">
        <v>47</v>
      </c>
      <c r="F208" s="333" t="s">
        <v>47</v>
      </c>
      <c r="G208" s="333"/>
      <c r="H208" s="333"/>
      <c r="I208" s="333" t="s">
        <v>47</v>
      </c>
      <c r="J208" s="333" t="s">
        <v>47</v>
      </c>
    </row>
    <row r="209" spans="2:10">
      <c r="B209" s="323" t="s">
        <v>417</v>
      </c>
      <c r="F209" s="333" t="s">
        <v>47</v>
      </c>
      <c r="G209" s="333"/>
      <c r="H209" s="333"/>
      <c r="I209" s="333" t="s">
        <v>47</v>
      </c>
      <c r="J209" s="333" t="s">
        <v>47</v>
      </c>
    </row>
    <row r="210" spans="2:10">
      <c r="B210" s="327" t="s">
        <v>399</v>
      </c>
      <c r="E210" s="325">
        <v>101000</v>
      </c>
      <c r="F210" s="333">
        <v>2.5935107818597304E-3</v>
      </c>
      <c r="G210" s="333">
        <v>0.95</v>
      </c>
      <c r="H210" s="333">
        <v>1</v>
      </c>
      <c r="I210" s="333">
        <v>1.5561064691158396E-4</v>
      </c>
      <c r="J210" s="333">
        <v>1.5561064691158396E-4</v>
      </c>
    </row>
    <row r="211" spans="2:10">
      <c r="B211" s="327" t="s">
        <v>400</v>
      </c>
      <c r="E211" s="325">
        <v>190000</v>
      </c>
      <c r="F211" s="333">
        <v>4.8788816688450374E-3</v>
      </c>
      <c r="G211" s="333">
        <v>0.95</v>
      </c>
      <c r="H211" s="333">
        <v>0.94</v>
      </c>
      <c r="I211" s="333">
        <v>-5.8546580026140499E-5</v>
      </c>
      <c r="J211" s="333">
        <v>-5.8546580026140499E-5</v>
      </c>
    </row>
    <row r="212" spans="2:10">
      <c r="B212" s="327" t="s">
        <v>403</v>
      </c>
      <c r="E212" s="325">
        <v>147000</v>
      </c>
      <c r="F212" s="333">
        <v>3.774713712211687E-3</v>
      </c>
      <c r="G212" s="333">
        <v>0.95</v>
      </c>
      <c r="H212" s="333">
        <v>0.85</v>
      </c>
      <c r="I212" s="333">
        <v>-4.5296564546540232E-4</v>
      </c>
      <c r="J212" s="333">
        <v>-4.5296564546540232E-4</v>
      </c>
    </row>
    <row r="213" spans="2:10">
      <c r="F213" s="333" t="s">
        <v>47</v>
      </c>
      <c r="G213" s="333"/>
      <c r="H213" s="333"/>
      <c r="I213" s="333" t="s">
        <v>47</v>
      </c>
      <c r="J213" s="333" t="s">
        <v>47</v>
      </c>
    </row>
    <row r="214" spans="2:10">
      <c r="B214" s="327" t="s">
        <v>418</v>
      </c>
      <c r="F214" s="333" t="s">
        <v>47</v>
      </c>
      <c r="G214" s="333"/>
      <c r="H214" s="333"/>
      <c r="I214" s="333" t="s">
        <v>47</v>
      </c>
      <c r="J214" s="333" t="s">
        <v>47</v>
      </c>
    </row>
    <row r="215" spans="2:10">
      <c r="B215" s="327" t="s">
        <v>399</v>
      </c>
      <c r="E215" s="325">
        <v>851000</v>
      </c>
      <c r="F215" s="333">
        <v>2.1852254211511195E-2</v>
      </c>
      <c r="G215" s="333">
        <v>0.89</v>
      </c>
      <c r="H215" s="333">
        <v>1</v>
      </c>
      <c r="I215" s="333">
        <v>2.8844975559194773E-3</v>
      </c>
      <c r="J215" s="333">
        <v>2.8844975559194773E-3</v>
      </c>
    </row>
    <row r="216" spans="2:10">
      <c r="B216" s="327" t="s">
        <v>400</v>
      </c>
      <c r="E216" s="325">
        <v>1312000</v>
      </c>
      <c r="F216" s="333">
        <v>3.3689961839603627E-2</v>
      </c>
      <c r="G216" s="333">
        <v>0.89</v>
      </c>
      <c r="H216" s="333">
        <v>0.94</v>
      </c>
      <c r="I216" s="333">
        <v>2.0213977103762147E-3</v>
      </c>
      <c r="J216" s="333">
        <v>2.0213977103762147E-3</v>
      </c>
    </row>
    <row r="217" spans="2:10">
      <c r="B217" s="327" t="s">
        <v>403</v>
      </c>
      <c r="E217" s="325">
        <v>632000</v>
      </c>
      <c r="F217" s="333">
        <v>1.6228701130052967E-2</v>
      </c>
      <c r="G217" s="333">
        <v>0.89</v>
      </c>
      <c r="H217" s="333">
        <v>0.85</v>
      </c>
      <c r="I217" s="333">
        <v>-7.789776542425431E-4</v>
      </c>
      <c r="J217" s="333">
        <v>-7.789776542425431E-4</v>
      </c>
    </row>
    <row r="218" spans="2:10">
      <c r="E218" s="326" t="s">
        <v>47</v>
      </c>
      <c r="F218" s="333"/>
      <c r="G218" s="333"/>
      <c r="H218" s="333"/>
      <c r="I218" s="333" t="s">
        <v>47</v>
      </c>
      <c r="J218" s="333"/>
    </row>
    <row r="219" spans="2:10">
      <c r="B219" s="327" t="s">
        <v>421</v>
      </c>
      <c r="E219" s="326">
        <v>38943350.729999997</v>
      </c>
      <c r="F219" s="333">
        <v>0.99999999999999967</v>
      </c>
      <c r="G219" s="333"/>
      <c r="H219" s="333"/>
      <c r="I219" s="333">
        <v>7.5572709181646247E-3</v>
      </c>
      <c r="J219" s="334">
        <v>2.7742144282809477E-2</v>
      </c>
    </row>
    <row r="220" spans="2:10" ht="108.5">
      <c r="B220" s="336" t="s">
        <v>432</v>
      </c>
      <c r="J220" s="334">
        <f>J219*UF_Assumptions_3!E14</f>
        <v>2.524753691448128E-2</v>
      </c>
    </row>
    <row r="224" spans="2:10">
      <c r="B224" s="328" t="s">
        <v>422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73"/>
  <sheetViews>
    <sheetView workbookViewId="0">
      <selection activeCell="D7" sqref="D7"/>
    </sheetView>
  </sheetViews>
  <sheetFormatPr defaultColWidth="8.81640625" defaultRowHeight="14.5"/>
  <cols>
    <col min="1" max="1" width="72.453125" bestFit="1" customWidth="1"/>
    <col min="2" max="2" width="37.453125" bestFit="1" customWidth="1"/>
    <col min="3" max="12" width="10" bestFit="1" customWidth="1"/>
    <col min="13" max="13" width="12.54296875" bestFit="1" customWidth="1"/>
    <col min="14" max="19" width="9" bestFit="1" customWidth="1"/>
  </cols>
  <sheetData>
    <row r="1" spans="1:12">
      <c r="B1">
        <v>2022</v>
      </c>
      <c r="C1">
        <v>2023</v>
      </c>
      <c r="D1">
        <v>2024</v>
      </c>
      <c r="E1">
        <v>2025</v>
      </c>
      <c r="F1">
        <v>2026</v>
      </c>
      <c r="G1">
        <v>2027</v>
      </c>
      <c r="H1">
        <v>2028</v>
      </c>
      <c r="I1">
        <v>2029</v>
      </c>
      <c r="J1">
        <v>2030</v>
      </c>
      <c r="K1">
        <v>2031</v>
      </c>
    </row>
    <row r="2" spans="1:12" s="2" customFormat="1">
      <c r="A2" s="2" t="s">
        <v>385</v>
      </c>
    </row>
    <row r="3" spans="1:12">
      <c r="A3" t="s">
        <v>4</v>
      </c>
      <c r="B3" s="13">
        <f>Baseline!J22*UF_Assumptions_1!B4*UF_Assumptions_1!D4*UF_Assumptions_1!H4*UF_Assumptions_1!C4*UF_Assumptions_1!I4*UF_Assumptions_1!G4*UF_Assumptions_1!F4</f>
        <v>163701.34411711179</v>
      </c>
      <c r="C3" s="13">
        <f>B3*(1+UF_Assumptions_2!B3)</f>
        <v>172541.21669943584</v>
      </c>
      <c r="D3" s="13">
        <f>C3*(1+UF_Assumptions_2!C3)</f>
        <v>181685.90118450593</v>
      </c>
      <c r="E3" s="13">
        <f>D3*(1+UF_Assumptions_2!D3)</f>
        <v>191678.62574965373</v>
      </c>
      <c r="F3" s="13">
        <f>E3*(1+UF_Assumptions_2!E3)</f>
        <v>202795.98604313366</v>
      </c>
      <c r="G3" s="13">
        <f>F3*(1+UF_Assumptions_2!F3)</f>
        <v>213746.9692894629</v>
      </c>
      <c r="H3" s="13">
        <f>G3*(1+UF_Assumptions_2!G3)</f>
        <v>225289.30563109391</v>
      </c>
      <c r="I3" s="13">
        <f>H3*(1+UF_Assumptions_2!H3)</f>
        <v>237755.31387601446</v>
      </c>
      <c r="J3" s="13">
        <f>I3*(1+UF_Assumptions_2!I3)</f>
        <v>250911.10791048731</v>
      </c>
      <c r="K3" s="13">
        <f>J3*(1+UF_Assumptions_2!J3)</f>
        <v>264794.85588153428</v>
      </c>
    </row>
    <row r="4" spans="1:12">
      <c r="A4" t="s">
        <v>5</v>
      </c>
      <c r="B4" s="13">
        <f>Baseline!J23*UF_Assumptions_1!B5*UF_Assumptions_1!D5*UF_Assumptions_1!H5*UF_Assumptions_1!C5*UF_Assumptions_1!I5*UF_Assumptions_1!G5*UF_Assumptions_1!F5</f>
        <v>123004.95380599918</v>
      </c>
      <c r="C4" s="13">
        <f>B4*(1+UF_Assumptions_2!B4)</f>
        <v>129155.20149629914</v>
      </c>
      <c r="D4" s="13">
        <f>C4*(1+UF_Assumptions_2!C4)</f>
        <v>135612.96157111411</v>
      </c>
      <c r="E4" s="13">
        <f>D4*(1+UF_Assumptions_2!D4)</f>
        <v>142800.44853438315</v>
      </c>
      <c r="F4" s="13">
        <f>E4*(1+UF_Assumptions_2!E4)</f>
        <v>149940.47096110231</v>
      </c>
      <c r="G4" s="13">
        <f>F4*(1+UF_Assumptions_2!F4)</f>
        <v>157587.43498011853</v>
      </c>
      <c r="H4" s="13">
        <f>G4*(1+UF_Assumptions_2!G4)</f>
        <v>165624.39416410457</v>
      </c>
      <c r="I4" s="13">
        <f>H4*(1+UF_Assumptions_2!H4)</f>
        <v>174016.03013508586</v>
      </c>
      <c r="J4" s="13">
        <f>I4*(1+UF_Assumptions_2!I4)</f>
        <v>182832.84232859689</v>
      </c>
      <c r="K4" s="13">
        <f>J4*(1+UF_Assumptions_2!J4)</f>
        <v>192096.37300657912</v>
      </c>
    </row>
    <row r="5" spans="1:12">
      <c r="A5" t="s">
        <v>6</v>
      </c>
      <c r="B5" s="13">
        <f>Baseline!J24*UF_Assumptions_1!B6*UF_Assumptions_1!D6*UF_Assumptions_1!H6*UF_Assumptions_1!C6*UF_Assumptions_1!I6*UF_Assumptions_1!G6*UF_Assumptions_1!F6</f>
        <v>14846.36606553379</v>
      </c>
      <c r="C5" s="13">
        <f>B5*(1+UF_Assumptions_2!B5)</f>
        <v>15588.68436881048</v>
      </c>
      <c r="D5" s="13">
        <f>C5*(1+UF_Assumptions_2!C5)</f>
        <v>16368.118587251005</v>
      </c>
      <c r="E5" s="13">
        <f>D5*(1+UF_Assumptions_2!D5)</f>
        <v>17170.156398026302</v>
      </c>
      <c r="F5" s="13">
        <f>E5*(1+UF_Assumptions_2!E5)</f>
        <v>18011.494061529589</v>
      </c>
      <c r="G5" s="13">
        <f>F5*(1+UF_Assumptions_2!F5)</f>
        <v>18912.068764606069</v>
      </c>
      <c r="H5" s="13">
        <f>G5*(1+UF_Assumptions_2!G5)</f>
        <v>19838.760134071767</v>
      </c>
      <c r="I5" s="13">
        <f>H5*(1+UF_Assumptions_2!H5)</f>
        <v>20817.472300685971</v>
      </c>
      <c r="J5" s="13">
        <f>I5*(1+UF_Assumptions_2!I5)</f>
        <v>21844.467600853142</v>
      </c>
      <c r="K5" s="13">
        <f>J5*(1+UF_Assumptions_2!J5)</f>
        <v>22922.128002495228</v>
      </c>
    </row>
    <row r="6" spans="1:12">
      <c r="A6" t="s">
        <v>7</v>
      </c>
      <c r="B6" s="13">
        <f>Baseline!J25*UF_Assumptions_1!B7*UF_Assumptions_1!D7*UF_Assumptions_1!H7*UF_Assumptions_1!C7*UF_Assumptions_1!I7*UF_Assumptions_1!G7*UF_Assumptions_1!F7</f>
        <v>24941.422865988508</v>
      </c>
      <c r="C6" s="13">
        <f>B6*(1+UF_Assumptions_2!B6)</f>
        <v>25914.138357762058</v>
      </c>
      <c r="D6" s="13">
        <f>C6*(1+UF_Assumptions_2!C6)</f>
        <v>26924.789753714776</v>
      </c>
      <c r="E6" s="13">
        <f>D6*(1+UF_Assumptions_2!D6)</f>
        <v>27974.85655410965</v>
      </c>
      <c r="F6" s="13">
        <f>E6*(1+UF_Assumptions_2!E6)</f>
        <v>29065.875959719924</v>
      </c>
      <c r="G6" s="13">
        <f>F6*(1+UF_Assumptions_2!F6)</f>
        <v>30170.379246189281</v>
      </c>
      <c r="H6" s="13">
        <f>G6*(1+UF_Assumptions_2!G6)</f>
        <v>31316.853657544474</v>
      </c>
      <c r="I6" s="13">
        <f>H6*(1+UF_Assumptions_2!H6)</f>
        <v>32517.333047750344</v>
      </c>
      <c r="J6" s="13">
        <f>I6*(1+UF_Assumptions_2!I6)</f>
        <v>33763.830814580775</v>
      </c>
      <c r="K6" s="13">
        <f>J6*(1+UF_Assumptions_2!J6)</f>
        <v>35058.110995806368</v>
      </c>
    </row>
    <row r="7" spans="1:12">
      <c r="A7" t="s">
        <v>8</v>
      </c>
      <c r="B7" s="13">
        <f>Baseline!J26*UF_Assumptions_1!B8*UF_Assumptions_1!D8*UF_Assumptions_1!H8*UF_Assumptions_1!C8*UF_Assumptions_1!I8*UF_Assumptions_1!G8*UF_Assumptions_1!F8</f>
        <v>27504.113438370092</v>
      </c>
      <c r="C7" s="13">
        <f>B7*(1+UF_Assumptions_2!B7)</f>
        <v>28934.327337165338</v>
      </c>
      <c r="D7" s="13">
        <f>C7*(1+UF_Assumptions_2!C7)</f>
        <v>30323.175049349276</v>
      </c>
      <c r="E7" s="13">
        <f>D7*(1+UF_Assumptions_2!D7)</f>
        <v>31899.980151915439</v>
      </c>
      <c r="F7" s="13">
        <f>E7*(1+UF_Assumptions_2!E7)</f>
        <v>33558.779119815044</v>
      </c>
      <c r="G7" s="13">
        <f>F7*(1+UF_Assumptions_2!F7)</f>
        <v>35303.835634045427</v>
      </c>
      <c r="H7" s="13">
        <f>G7*(1+UF_Assumptions_2!G7)</f>
        <v>37104.331251381744</v>
      </c>
      <c r="I7" s="13">
        <f>H7*(1+UF_Assumptions_2!H7)</f>
        <v>39021.388366036474</v>
      </c>
      <c r="J7" s="13">
        <f>I7*(1+UF_Assumptions_2!I7)</f>
        <v>41037.493431615025</v>
      </c>
      <c r="K7" s="13">
        <f>J7*(1+UF_Assumptions_2!J7)</f>
        <v>43157.763925581807</v>
      </c>
    </row>
    <row r="8" spans="1:12">
      <c r="A8" t="s">
        <v>9</v>
      </c>
      <c r="B8" s="13">
        <f>Baseline!J27*UF_Assumptions_1!B9*UF_Assumptions_1!D9*UF_Assumptions_1!H9*UF_Assumptions_1!C9*UF_Assumptions_1!I9*UF_Assumptions_1!G9*UF_Assumptions_1!F9</f>
        <v>20867.90919503873</v>
      </c>
      <c r="C8" s="13">
        <f>B8*(1+UF_Assumptions_2!B8)</f>
        <v>22266.059111106322</v>
      </c>
      <c r="D8" s="13">
        <f>C8*(1+UF_Assumptions_2!C8)</f>
        <v>23713.352953328231</v>
      </c>
      <c r="E8" s="13">
        <f>D8*(1+UF_Assumptions_2!D8)</f>
        <v>25278.434248247897</v>
      </c>
      <c r="F8" s="13">
        <f>E8*(1+UF_Assumptions_2!E8)</f>
        <v>26921.53247438401</v>
      </c>
      <c r="G8" s="13">
        <f>F8*(1+UF_Assumptions_2!F8)</f>
        <v>28725.275150167738</v>
      </c>
      <c r="H8" s="13">
        <f>G8*(1+UF_Assumptions_2!G8)</f>
        <v>30649.868585228975</v>
      </c>
      <c r="I8" s="13">
        <f>H8*(1+UF_Assumptions_2!H8)</f>
        <v>32682.976534715832</v>
      </c>
      <c r="J8" s="13">
        <f>I8*(1+UF_Assumptions_2!I8)</f>
        <v>34850.947311518648</v>
      </c>
      <c r="K8" s="13">
        <f>J8*(1+UF_Assumptions_2!J8)</f>
        <v>37162.726816516049</v>
      </c>
    </row>
    <row r="9" spans="1:12">
      <c r="A9" t="s">
        <v>10</v>
      </c>
      <c r="B9" s="13">
        <f>Baseline!J28*UF_Assumptions_1!B10*UF_Assumptions_1!D10*UF_Assumptions_1!H10*UF_Assumptions_1!C10*UF_Assumptions_1!I10*UF_Assumptions_1!G10*UF_Assumptions_1!F10</f>
        <v>17757.579038677741</v>
      </c>
      <c r="C9" s="13">
        <f>B9*(1+UF_Assumptions_2!B9)</f>
        <v>18521.154937340882</v>
      </c>
      <c r="D9" s="13">
        <f>C9*(1+UF_Assumptions_2!C9)</f>
        <v>19262.001134834518</v>
      </c>
      <c r="E9" s="13">
        <f>D9*(1+UF_Assumptions_2!D9)</f>
        <v>20032.4811802279</v>
      </c>
      <c r="F9" s="13">
        <f>E9*(1+UF_Assumptions_2!E9)</f>
        <v>20873.845389797472</v>
      </c>
      <c r="G9" s="13">
        <f>F9*(1+UF_Assumptions_2!F9)</f>
        <v>21792.294586948563</v>
      </c>
      <c r="H9" s="13">
        <f>G9*(1+UF_Assumptions_2!G9)</f>
        <v>22816.532432535143</v>
      </c>
      <c r="I9" s="13">
        <f>H9*(1+UF_Assumptions_2!H9)</f>
        <v>23828.065370377535</v>
      </c>
      <c r="J9" s="13">
        <f>I9*(1+UF_Assumptions_2!I9)</f>
        <v>24884.442935130941</v>
      </c>
      <c r="K9" s="13">
        <f>J9*(1+UF_Assumptions_2!J9)</f>
        <v>25987.653238588413</v>
      </c>
      <c r="L9" s="275"/>
    </row>
    <row r="10" spans="1:12">
      <c r="A10" t="s">
        <v>18</v>
      </c>
      <c r="B10" s="13">
        <f>Baseline!J29*UF_Assumptions_1!B11*UF_Assumptions_1!D11*UF_Assumptions_1!H11*UF_Assumptions_1!C11*UF_Assumptions_1!I11*UF_Assumptions_1!G11*UF_Assumptions_1!F11</f>
        <v>30129.715383992829</v>
      </c>
      <c r="C10" s="13">
        <f>B10*(1+UF_Assumptions_2!B10)</f>
        <v>31726.590299344447</v>
      </c>
      <c r="D10" s="13">
        <f>C10*(1+UF_Assumptions_2!C10)</f>
        <v>33439.82617550905</v>
      </c>
      <c r="E10" s="13">
        <f>D10*(1+UF_Assumptions_2!D10)</f>
        <v>35212.136962811026</v>
      </c>
      <c r="F10" s="13">
        <f>E10*(1+UF_Assumptions_2!E10)</f>
        <v>37148.804495765631</v>
      </c>
      <c r="G10" s="13">
        <f>F10*(1+UF_Assumptions_2!F10)</f>
        <v>39191.988743032736</v>
      </c>
      <c r="H10" s="13">
        <f>G10*(1+UF_Assumptions_2!G10)</f>
        <v>41308.356135156508</v>
      </c>
      <c r="I10" s="13">
        <f>H10*(1+UF_Assumptions_2!H10)</f>
        <v>43566.546270545063</v>
      </c>
      <c r="J10" s="13">
        <f>I10*(1+UF_Assumptions_2!I10)</f>
        <v>45948.184133334857</v>
      </c>
      <c r="K10" s="13">
        <f>J10*(1+UF_Assumptions_2!J10)</f>
        <v>48460.018199290491</v>
      </c>
    </row>
    <row r="11" spans="1:12">
      <c r="A11" t="s">
        <v>16</v>
      </c>
      <c r="B11" s="13">
        <f>Baseline!J30*UF_Assumptions_1!B12*UF_Assumptions_1!D12*UF_Assumptions_1!H12*UF_Assumptions_1!C12*UF_Assumptions_1!I12*UF_Assumptions_1!G12*UF_Assumptions_1!F12</f>
        <v>9782.1964709051808</v>
      </c>
      <c r="C11" s="13">
        <f>B11*(1+UF_Assumptions_2!B11)</f>
        <v>10183.266526212292</v>
      </c>
      <c r="D11" s="13">
        <f>C11*(1+UF_Assumptions_2!C11)</f>
        <v>10610.963720313208</v>
      </c>
      <c r="E11" s="13">
        <f>D11*(1+UF_Assumptions_2!D11)</f>
        <v>11056.624196566363</v>
      </c>
      <c r="F11" s="13">
        <f>E11*(1+UF_Assumptions_2!E11)</f>
        <v>11521.00241282215</v>
      </c>
      <c r="G11" s="13">
        <f>F11*(1+UF_Assumptions_2!F11)</f>
        <v>12016.405516573503</v>
      </c>
      <c r="H11" s="13">
        <f>G11*(1+UF_Assumptions_2!G11)</f>
        <v>12533.110953786163</v>
      </c>
      <c r="I11" s="13">
        <f>H11*(1+UF_Assumptions_2!H11)</f>
        <v>13067.857021147705</v>
      </c>
      <c r="J11" s="13">
        <f>I11*(1+UF_Assumptions_2!I11)</f>
        <v>13625.418920716673</v>
      </c>
      <c r="K11" s="13">
        <f>J11*(1+UF_Assumptions_2!J11)</f>
        <v>14206.770128000584</v>
      </c>
    </row>
    <row r="12" spans="1:12">
      <c r="A12" t="s">
        <v>11</v>
      </c>
      <c r="B12" s="13">
        <f>Baseline!J31*UF_Assumptions_1!B13*UF_Assumptions_1!D13*UF_Assumptions_1!H13*UF_Assumptions_1!C13*UF_Assumptions_1!I13*UF_Assumptions_1!G13*UF_Assumptions_1!F13</f>
        <v>6255.1260573301888</v>
      </c>
      <c r="C12" s="13">
        <f>B12*(1+UF_Assumptions_2!B12)</f>
        <v>6592.9028644260197</v>
      </c>
      <c r="D12" s="13">
        <f>C12*(1+UF_Assumptions_2!C12)</f>
        <v>6948.919619105025</v>
      </c>
      <c r="E12" s="13">
        <f>D12*(1+UF_Assumptions_2!D12)</f>
        <v>7324.161278536697</v>
      </c>
      <c r="F12" s="13">
        <f>E12*(1+UF_Assumptions_2!E12)</f>
        <v>7719.6659875776786</v>
      </c>
      <c r="G12" s="13">
        <f>F12*(1+UF_Assumptions_2!F12)</f>
        <v>8151.9672828820294</v>
      </c>
      <c r="H12" s="13">
        <f>G12*(1+UF_Assumptions_2!G12)</f>
        <v>8567.7176143090128</v>
      </c>
      <c r="I12" s="13">
        <f>H12*(1+UF_Assumptions_2!H12)</f>
        <v>9027.5184596102645</v>
      </c>
      <c r="J12" s="13">
        <f>I12*(1+UF_Assumptions_2!I12)</f>
        <v>9511.9952836093489</v>
      </c>
      <c r="K12" s="13">
        <f>J12*(1+UF_Assumptions_2!J12)</f>
        <v>10022.472363829718</v>
      </c>
    </row>
    <row r="13" spans="1:12">
      <c r="A13" t="s">
        <v>13</v>
      </c>
      <c r="B13" s="13">
        <f>Baseline!J$35</f>
        <v>13015.934321462773</v>
      </c>
      <c r="C13" s="13">
        <f>Baseline!K$35</f>
        <v>13476.024721270978</v>
      </c>
      <c r="D13" s="13">
        <f>Baseline!L$35</f>
        <v>13923.220163679234</v>
      </c>
      <c r="E13" s="13">
        <f>Baseline!M$35</f>
        <v>14458.753862211928</v>
      </c>
      <c r="F13" s="13">
        <f>Baseline!N$35</f>
        <v>15047.036138730071</v>
      </c>
      <c r="G13" s="13">
        <f>Baseline!O$35</f>
        <v>15608.734786912868</v>
      </c>
      <c r="H13" s="13">
        <f>Baseline!P$35</f>
        <v>16159.948137089295</v>
      </c>
      <c r="I13" s="13">
        <f>Baseline!Q$35</f>
        <v>16766.700865673727</v>
      </c>
      <c r="J13" s="13">
        <f>Baseline!R$35</f>
        <v>17396.231249972214</v>
      </c>
      <c r="K13" s="13">
        <f>Baseline!S$35</f>
        <v>18049.393987394586</v>
      </c>
    </row>
    <row r="14" spans="1:12">
      <c r="A14" s="6" t="s">
        <v>71</v>
      </c>
      <c r="B14" s="13">
        <f>Baseline!J36</f>
        <v>28791.565066927964</v>
      </c>
      <c r="C14" s="13">
        <f>B14*(1+UF_Assumptions_2!B14)</f>
        <v>30144.768625073575</v>
      </c>
      <c r="D14" s="13">
        <f>C14*(1+UF_Assumptions_2!C14)</f>
        <v>31561.572750452033</v>
      </c>
      <c r="E14" s="13">
        <f>D14*(1+UF_Assumptions_2!D14)</f>
        <v>33076.528242473731</v>
      </c>
      <c r="F14" s="13">
        <f>E14*(1+UF_Assumptions_2!E14)</f>
        <v>34664.201598112471</v>
      </c>
      <c r="G14" s="13">
        <f>F14*(1+UF_Assumptions_2!F14)</f>
        <v>36328.083274821875</v>
      </c>
      <c r="H14" s="13">
        <f>G14*(1+UF_Assumptions_2!G14)</f>
        <v>38035.503188738498</v>
      </c>
      <c r="I14" s="13">
        <f>H14*(1+UF_Assumptions_2!H14)</f>
        <v>39848.528840735038</v>
      </c>
      <c r="J14" s="13">
        <f>I14*(1+UF_Assumptions_2!I14)</f>
        <v>41747.975382143413</v>
      </c>
      <c r="K14" s="13">
        <f>J14*(1+UF_Assumptions_2!J14)</f>
        <v>43737.962208692254</v>
      </c>
    </row>
    <row r="15" spans="1:12">
      <c r="A15" s="6" t="s">
        <v>166</v>
      </c>
      <c r="B15" s="13">
        <f>SUM(B3:B12)*(UF_Assumptions_1!B$18/(1-UF_Assumptions_1!B$18))</f>
        <v>13570.847209451998</v>
      </c>
      <c r="C15" s="13">
        <f>SUM(C3:C12)*(UF_Assumptions_1!C$18/(1-UF_Assumptions_1!C$18))</f>
        <v>14270.831195811428</v>
      </c>
      <c r="D15" s="13">
        <f>SUM(D3:D12)*(UF_Assumptions_1!D$18/(1-UF_Assumptions_1!D$18))</f>
        <v>14996.59823966057</v>
      </c>
      <c r="E15" s="13">
        <f>SUM(E3:E12)*(UF_Assumptions_1!E$18/(1-UF_Assumptions_1!E$18))</f>
        <v>15786.430059416849</v>
      </c>
      <c r="F15" s="13">
        <f>SUM(F3:F12)*(UF_Assumptions_1!F$18/(1-UF_Assumptions_1!F$18))</f>
        <v>16625.488357906623</v>
      </c>
      <c r="G15" s="13">
        <f>SUM(G3:G12)*(UF_Assumptions_1!G$18/(1-UF_Assumptions_1!G$18))</f>
        <v>17492.740799815263</v>
      </c>
      <c r="H15" s="13">
        <f>SUM(H3:H12)*(UF_Assumptions_1!H$18/(1-UF_Assumptions_1!H$18))</f>
        <v>18403.584450284918</v>
      </c>
      <c r="I15" s="13">
        <f>SUM(I3:I12)*(UF_Assumptions_1!I$18/(1-UF_Assumptions_1!I$18))</f>
        <v>19370.118599442358</v>
      </c>
      <c r="J15" s="13">
        <f>SUM(J3:J12)*(UF_Assumptions_1!J$18/(1-UF_Assumptions_1!J$18))</f>
        <v>20387.96074238485</v>
      </c>
      <c r="K15" s="13">
        <f>SUM(K3:K12)*(UF_Assumptions_1!K$18/(1-UF_Assumptions_1!K$18))</f>
        <v>21459.862037883155</v>
      </c>
      <c r="L15" s="56">
        <f>B15/((SUM(B3:B12)+B15))</f>
        <v>0.03</v>
      </c>
    </row>
    <row r="16" spans="1:12">
      <c r="A16" s="212" t="s">
        <v>218</v>
      </c>
      <c r="B16" s="13">
        <f>UF_Assumptions_1!$B$28/1000000</f>
        <v>2085.3611888863684</v>
      </c>
      <c r="C16" s="13">
        <f>UF_Assumptions_1!$B$28/1000000</f>
        <v>2085.3611888863684</v>
      </c>
      <c r="D16" s="13">
        <f>UF_Assumptions_1!$B$28/1000000</f>
        <v>2085.3611888863684</v>
      </c>
      <c r="E16" s="13">
        <f>UF_Assumptions_1!$B$28/1000000</f>
        <v>2085.3611888863684</v>
      </c>
      <c r="F16" s="13">
        <f>UF_Assumptions_1!$B$28/1000000</f>
        <v>2085.3611888863684</v>
      </c>
      <c r="G16" s="13">
        <f>UF_Assumptions_1!$B$28/1000000</f>
        <v>2085.3611888863684</v>
      </c>
      <c r="H16" s="13">
        <f>UF_Assumptions_1!$B$28/1000000</f>
        <v>2085.3611888863684</v>
      </c>
      <c r="I16" s="13">
        <f>UF_Assumptions_1!$B$28/1000000</f>
        <v>2085.3611888863684</v>
      </c>
      <c r="J16" s="13">
        <f>UF_Assumptions_1!$B$28/1000000</f>
        <v>2085.3611888863684</v>
      </c>
      <c r="K16" s="13">
        <f>UF_Assumptions_1!$B$28/1000000</f>
        <v>2085.3611888863684</v>
      </c>
    </row>
    <row r="17" spans="1:12">
      <c r="A17" s="211" t="s">
        <v>276</v>
      </c>
      <c r="B17" s="13">
        <f>((UF_Calculations_2!B12-UF_Assumptions_1!$B$60)/UF_Assumptions_1!$B$63)+UF_Assumptions_1!$B$61</f>
        <v>4902.4848588157956</v>
      </c>
      <c r="C17" s="13">
        <f>((UF_Calculations_2!C12-UF_Assumptions_1!$B$60)/UF_Assumptions_1!$B$63)+UF_Assumptions_1!$B$61</f>
        <v>5125.0086681637049</v>
      </c>
      <c r="D17" s="13">
        <f>((UF_Calculations_2!D12-UF_Assumptions_1!$B$60)/UF_Assumptions_1!$B$63)+UF_Assumptions_1!$B$61</f>
        <v>5356.4053753981598</v>
      </c>
      <c r="E17" s="13">
        <f>((UF_Calculations_2!E12-UF_Assumptions_1!$B$60)/UF_Assumptions_1!$B$63)+UF_Assumptions_1!$B$61</f>
        <v>5604.279592792167</v>
      </c>
      <c r="F17" s="13">
        <f>((UF_Calculations_2!F12-UF_Assumptions_1!$B$60)/UF_Assumptions_1!$B$63)+UF_Assumptions_1!$B$61</f>
        <v>5857.7210261584878</v>
      </c>
      <c r="G17" s="13">
        <f>((UF_Calculations_2!G12-UF_Assumptions_1!$B$60)/UF_Assumptions_1!$B$63)+UF_Assumptions_1!$B$61</f>
        <v>6119.9701591709036</v>
      </c>
      <c r="H17" s="13">
        <f>((UF_Calculations_2!H12-UF_Assumptions_1!$B$60)/UF_Assumptions_1!$B$63)+UF_Assumptions_1!$B$61</f>
        <v>6390.9549235820841</v>
      </c>
      <c r="I17" s="13">
        <f>((UF_Calculations_2!I12-UF_Assumptions_1!$B$60)/UF_Assumptions_1!$B$63)+UF_Assumptions_1!$B$61</f>
        <v>6669.3356902912155</v>
      </c>
      <c r="J17" s="13">
        <f>((UF_Calculations_2!J12-UF_Assumptions_1!$B$60)/UF_Assumptions_1!$B$63)+UF_Assumptions_1!$B$61</f>
        <v>6955.818118832588</v>
      </c>
      <c r="K17" s="13">
        <f>((UF_Calculations_2!K12-UF_Assumptions_1!$B$60)/UF_Assumptions_1!$B$63)+UF_Assumptions_1!$B$61</f>
        <v>7250.3501871489816</v>
      </c>
      <c r="L17" s="274"/>
    </row>
    <row r="18" spans="1:12">
      <c r="A18" s="8" t="s">
        <v>14</v>
      </c>
      <c r="B18" s="88">
        <f t="shared" ref="B18:K18" si="0">SUM(B3:B17)</f>
        <v>501156.9190844929</v>
      </c>
      <c r="C18" s="88">
        <f t="shared" si="0"/>
        <v>526525.53639710892</v>
      </c>
      <c r="D18" s="88">
        <f t="shared" si="0"/>
        <v>552813.16746710136</v>
      </c>
      <c r="E18" s="88">
        <f t="shared" si="0"/>
        <v>581439.25820025906</v>
      </c>
      <c r="F18" s="88">
        <f t="shared" si="0"/>
        <v>611837.26521544147</v>
      </c>
      <c r="G18" s="88">
        <f t="shared" si="0"/>
        <v>643233.50940363412</v>
      </c>
      <c r="H18" s="88">
        <f t="shared" si="0"/>
        <v>676124.58244779333</v>
      </c>
      <c r="I18" s="88">
        <f t="shared" si="0"/>
        <v>711040.54656699835</v>
      </c>
      <c r="J18" s="88">
        <f t="shared" si="0"/>
        <v>747784.07735266292</v>
      </c>
      <c r="K18" s="88">
        <f t="shared" si="0"/>
        <v>786451.80216822727</v>
      </c>
    </row>
    <row r="19" spans="1:12" s="2" customFormat="1">
      <c r="A19" s="2" t="s">
        <v>386</v>
      </c>
    </row>
    <row r="20" spans="1:12">
      <c r="A20" t="s">
        <v>4</v>
      </c>
      <c r="B20" s="13">
        <f>Baseline!J22*UF_Assumptions_1!B4*UF_Assumptions_1!D4*UF_Assumptions_1!C4*UF_Assumptions_1!J4*UF_Assumptions_1!G4*UF_Assumptions_1!F4</f>
        <v>162453.2654677745</v>
      </c>
      <c r="C20" s="13">
        <f>B20*(1+UF_Assumptions_2!B3)</f>
        <v>171225.74180303433</v>
      </c>
      <c r="D20" s="13">
        <f>C20*(1+UF_Assumptions_2!C3)</f>
        <v>180300.70611859515</v>
      </c>
      <c r="E20" s="13">
        <f>D20*(1+UF_Assumptions_2!D3)</f>
        <v>190217.24495511787</v>
      </c>
      <c r="F20" s="13">
        <f>E20*(1+UF_Assumptions_2!E3)</f>
        <v>201249.84516251471</v>
      </c>
      <c r="G20" s="13">
        <f>F20*(1+UF_Assumptions_2!F3)</f>
        <v>212117.33680129051</v>
      </c>
      <c r="H20" s="13">
        <f>G20*(1+UF_Assumptions_2!G3)</f>
        <v>223571.6729885602</v>
      </c>
      <c r="I20" s="13">
        <f>H20*(1+UF_Assumptions_2!H3)</f>
        <v>235942.63889392721</v>
      </c>
      <c r="J20" s="13">
        <f>I20*(1+UF_Assumptions_2!I3)</f>
        <v>248998.13157939122</v>
      </c>
      <c r="K20" s="13">
        <f>J20*(1+UF_Assumptions_2!J3)</f>
        <v>262776.02819345088</v>
      </c>
    </row>
    <row r="21" spans="1:12">
      <c r="A21" t="s">
        <v>5</v>
      </c>
      <c r="B21" s="13">
        <f>Baseline!J23*UF_Assumptions_1!B5*UF_Assumptions_1!D5*UF_Assumptions_1!C5*UF_Assumptions_1!J5*UF_Assumptions_1!G5*UF_Assumptions_1!F5</f>
        <v>119740.67145279271</v>
      </c>
      <c r="C21" s="13">
        <f>B21*(1+UF_Assumptions_2!B4)</f>
        <v>125727.70502543235</v>
      </c>
      <c r="D21" s="13">
        <f>C21*(1+UF_Assumptions_2!C4)</f>
        <v>132014.09027670397</v>
      </c>
      <c r="E21" s="13">
        <f>D21*(1+UF_Assumptions_2!D4)</f>
        <v>139010.83706136927</v>
      </c>
      <c r="F21" s="13">
        <f>E21*(1+UF_Assumptions_2!E4)</f>
        <v>145961.37891443775</v>
      </c>
      <c r="G21" s="13">
        <f>F21*(1+UF_Assumptions_2!F4)</f>
        <v>153405.40923907407</v>
      </c>
      <c r="H21" s="13">
        <f>G21*(1+UF_Assumptions_2!G4)</f>
        <v>161229.08511026684</v>
      </c>
      <c r="I21" s="13">
        <f>H21*(1+UF_Assumptions_2!H4)</f>
        <v>169398.02542252035</v>
      </c>
      <c r="J21" s="13">
        <f>I21*(1+UF_Assumptions_2!I4)</f>
        <v>177980.85871059471</v>
      </c>
      <c r="K21" s="13">
        <f>J21*(1+UF_Assumptions_2!J4)</f>
        <v>186998.55555193149</v>
      </c>
    </row>
    <row r="22" spans="1:12">
      <c r="A22" t="s">
        <v>6</v>
      </c>
      <c r="B22" s="13">
        <f>Baseline!J24*UF_Assumptions_1!B6*UF_Assumptions_1!D6*UF_Assumptions_1!C6*UF_Assumptions_1!J6*UF_Assumptions_1!G6*UF_Assumptions_1!F6</f>
        <v>14324.075326181735</v>
      </c>
      <c r="C22" s="13">
        <f>B22*(1+UF_Assumptions_2!B5)</f>
        <v>15040.279092490822</v>
      </c>
      <c r="D22" s="13">
        <f>C22*(1+UF_Assumptions_2!C5)</f>
        <v>15792.293047115363</v>
      </c>
      <c r="E22" s="13">
        <f>D22*(1+UF_Assumptions_2!D5)</f>
        <v>16566.115406424015</v>
      </c>
      <c r="F22" s="13">
        <f>E22*(1+UF_Assumptions_2!E5)</f>
        <v>17377.855061338789</v>
      </c>
      <c r="G22" s="13">
        <f>F22*(1+UF_Assumptions_2!F5)</f>
        <v>18246.747814405728</v>
      </c>
      <c r="H22" s="13">
        <f>G22*(1+UF_Assumptions_2!G5)</f>
        <v>19140.838457311605</v>
      </c>
      <c r="I22" s="13">
        <f>H22*(1+UF_Assumptions_2!H5)</f>
        <v>20085.119821205644</v>
      </c>
      <c r="J22" s="13">
        <f>I22*(1+UF_Assumptions_2!I5)</f>
        <v>21075.985732385121</v>
      </c>
      <c r="K22" s="13">
        <f>J22*(1+UF_Assumptions_2!J5)</f>
        <v>22115.734361849452</v>
      </c>
    </row>
    <row r="23" spans="1:12">
      <c r="A23" t="s">
        <v>7</v>
      </c>
      <c r="B23" s="13">
        <f>Baseline!J25*UF_Assumptions_1!B7*UF_Assumptions_1!D7*UF_Assumptions_1!C7*UF_Assumptions_1!J7*UF_Assumptions_1!G7*UF_Assumptions_1!F7</f>
        <v>24063.991033062659</v>
      </c>
      <c r="C23" s="13">
        <f>B23*(1+UF_Assumptions_2!B6)</f>
        <v>25002.486683352101</v>
      </c>
      <c r="D23" s="13">
        <f>C23*(1+UF_Assumptions_2!C6)</f>
        <v>25977.583664002832</v>
      </c>
      <c r="E23" s="13">
        <f>D23*(1+UF_Assumptions_2!D6)</f>
        <v>26990.709426898942</v>
      </c>
      <c r="F23" s="13">
        <f>E23*(1+UF_Assumptions_2!E6)</f>
        <v>28043.347094548</v>
      </c>
      <c r="G23" s="13">
        <f>F23*(1+UF_Assumptions_2!F6)</f>
        <v>29108.994284140826</v>
      </c>
      <c r="H23" s="13">
        <f>G23*(1+UF_Assumptions_2!G6)</f>
        <v>30215.136066938179</v>
      </c>
      <c r="I23" s="13">
        <f>H23*(1+UF_Assumptions_2!H6)</f>
        <v>31373.382949504143</v>
      </c>
      <c r="J23" s="13">
        <f>I23*(1+UF_Assumptions_2!I6)</f>
        <v>32576.029295901801</v>
      </c>
      <c r="K23" s="13">
        <f>J23*(1+UF_Assumptions_2!J6)</f>
        <v>33824.777085578033</v>
      </c>
    </row>
    <row r="24" spans="1:12">
      <c r="A24" t="s">
        <v>8</v>
      </c>
      <c r="B24" s="13">
        <f>Baseline!J26*UF_Assumptions_1!B8*UF_Assumptions_1!D8*UF_Assumptions_1!C8*UF_Assumptions_1!J8*UF_Assumptions_1!G8*UF_Assumptions_1!F8</f>
        <v>28096.874696395342</v>
      </c>
      <c r="C24" s="13">
        <f>B24*(1+UF_Assumptions_2!B7)</f>
        <v>29557.912180607902</v>
      </c>
      <c r="D24" s="13">
        <f>C24*(1+UF_Assumptions_2!C7)</f>
        <v>30976.691965277081</v>
      </c>
      <c r="E24" s="13">
        <f>D24*(1+UF_Assumptions_2!D7)</f>
        <v>32587.479947471489</v>
      </c>
      <c r="F24" s="13">
        <f>E24*(1+UF_Assumptions_2!E7)</f>
        <v>34282.028904740007</v>
      </c>
      <c r="G24" s="13">
        <f>F24*(1+UF_Assumptions_2!F7)</f>
        <v>36064.69440778649</v>
      </c>
      <c r="H24" s="13">
        <f>G24*(1+UF_Assumptions_2!G7)</f>
        <v>37903.993822583601</v>
      </c>
      <c r="I24" s="13">
        <f>H24*(1+UF_Assumptions_2!H7)</f>
        <v>39862.366836750421</v>
      </c>
      <c r="J24" s="13">
        <f>I24*(1+UF_Assumptions_2!I7)</f>
        <v>41921.922456649198</v>
      </c>
      <c r="K24" s="13">
        <f>J24*(1+UF_Assumptions_2!J7)</f>
        <v>44087.888450242746</v>
      </c>
    </row>
    <row r="25" spans="1:12">
      <c r="A25" t="s">
        <v>9</v>
      </c>
      <c r="B25" s="13">
        <f>Baseline!J27*UF_Assumptions_1!B9*UF_Assumptions_1!D9*UF_Assumptions_1!C9*UF_Assumptions_1!J9*UF_Assumptions_1!G9*UF_Assumptions_1!F9</f>
        <v>20133.782360626981</v>
      </c>
      <c r="C25" s="13">
        <f>B25*(1+UF_Assumptions_2!B8)</f>
        <v>21482.745778788987</v>
      </c>
      <c r="D25" s="13">
        <f>C25*(1+UF_Assumptions_2!C8)</f>
        <v>22879.124254410272</v>
      </c>
      <c r="E25" s="13">
        <f>D25*(1+UF_Assumptions_2!D8)</f>
        <v>24389.146455201349</v>
      </c>
      <c r="F25" s="13">
        <f>E25*(1+UF_Assumptions_2!E8)</f>
        <v>25974.440974789435</v>
      </c>
      <c r="G25" s="13">
        <f>F25*(1+UF_Assumptions_2!F8)</f>
        <v>27714.728520100325</v>
      </c>
      <c r="H25" s="13">
        <f>G25*(1+UF_Assumptions_2!G8)</f>
        <v>29571.615330947046</v>
      </c>
      <c r="I25" s="13">
        <f>H25*(1+UF_Assumptions_2!H8)</f>
        <v>31533.199147899868</v>
      </c>
      <c r="J25" s="13">
        <f>I25*(1+UF_Assumptions_2!I8)</f>
        <v>33624.901358043891</v>
      </c>
      <c r="K25" s="13">
        <f>J25*(1+UF_Assumptions_2!J8)</f>
        <v>35855.353148127469</v>
      </c>
    </row>
    <row r="26" spans="1:12">
      <c r="A26" t="s">
        <v>10</v>
      </c>
      <c r="B26" s="13">
        <f>Baseline!J28*UF_Assumptions_1!B10*UF_Assumptions_1!D10*UF_Assumptions_1!C10*UF_Assumptions_1!J10*UF_Assumptions_1!G10*UF_Assumptions_1!F10</f>
        <v>18140.285607789145</v>
      </c>
      <c r="C26" s="13">
        <f>B26*(1+UF_Assumptions_2!B9)</f>
        <v>18920.317888924077</v>
      </c>
      <c r="D26" s="13">
        <f>C26*(1+UF_Assumptions_2!C9)</f>
        <v>19677.130604481041</v>
      </c>
      <c r="E26" s="13">
        <f>D26*(1+UF_Assumptions_2!D9)</f>
        <v>20464.215828660283</v>
      </c>
      <c r="F26" s="13">
        <f>E26*(1+UF_Assumptions_2!E9)</f>
        <v>21323.712893464017</v>
      </c>
      <c r="G26" s="13">
        <f>F26*(1+UF_Assumptions_2!F9)</f>
        <v>22261.956260776435</v>
      </c>
      <c r="H26" s="13">
        <f>G26*(1+UF_Assumptions_2!G9)</f>
        <v>23308.268205032924</v>
      </c>
      <c r="I26" s="13">
        <f>H26*(1+UF_Assumptions_2!H9)</f>
        <v>24341.601428789385</v>
      </c>
      <c r="J26" s="13">
        <f>I26*(1+UF_Assumptions_2!I9)</f>
        <v>25420.745758799047</v>
      </c>
      <c r="K26" s="13">
        <f>J26*(1+UF_Assumptions_2!J9)</f>
        <v>26547.732154105805</v>
      </c>
    </row>
    <row r="27" spans="1:12">
      <c r="A27" t="s">
        <v>18</v>
      </c>
      <c r="B27" s="13">
        <f>Baseline!J29*UF_Assumptions_1!B11*UF_Assumptions_1!D11*UF_Assumptions_1!C11*UF_Assumptions_1!J11*UF_Assumptions_1!G11*UF_Assumptions_1!F11</f>
        <v>28600.194242264795</v>
      </c>
      <c r="C27" s="13">
        <f>B27*(1+UF_Assumptions_2!B10)</f>
        <v>30116.004537104829</v>
      </c>
      <c r="D27" s="13">
        <f>C27*(1+UF_Assumptions_2!C10)</f>
        <v>31742.268782108491</v>
      </c>
      <c r="E27" s="13">
        <f>D27*(1+UF_Assumptions_2!D10)</f>
        <v>33424.60902756024</v>
      </c>
      <c r="F27" s="13">
        <f>E27*(1+UF_Assumptions_2!E10)</f>
        <v>35262.962524076051</v>
      </c>
      <c r="G27" s="13">
        <f>F27*(1+UF_Assumptions_2!F10)</f>
        <v>37202.425462900232</v>
      </c>
      <c r="H27" s="13">
        <f>G27*(1+UF_Assumptions_2!G10)</f>
        <v>39211.356437896844</v>
      </c>
      <c r="I27" s="13">
        <f>H27*(1+UF_Assumptions_2!H10)</f>
        <v>41354.910589835206</v>
      </c>
      <c r="J27" s="13">
        <f>I27*(1+UF_Assumptions_2!I10)</f>
        <v>43615.645702079528</v>
      </c>
      <c r="K27" s="13">
        <f>J27*(1+UF_Assumptions_2!J10)</f>
        <v>45999.967667126541</v>
      </c>
    </row>
    <row r="28" spans="1:12">
      <c r="A28" t="s">
        <v>16</v>
      </c>
      <c r="B28" s="13">
        <f>Baseline!J30*UF_Assumptions_1!B12*UF_Assumptions_1!D12*UF_Assumptions_1!C12*UF_Assumptions_1!J12*UF_Assumptions_1!G12*UF_Assumptions_1!F12</f>
        <v>9438.0617106060163</v>
      </c>
      <c r="C28" s="13">
        <f>B28*(1+UF_Assumptions_2!B11)</f>
        <v>9825.0222407408619</v>
      </c>
      <c r="D28" s="13">
        <f>C28*(1+UF_Assumptions_2!C11)</f>
        <v>10237.673174851978</v>
      </c>
      <c r="E28" s="13">
        <f>D28*(1+UF_Assumptions_2!D11)</f>
        <v>10667.655448195761</v>
      </c>
      <c r="F28" s="13">
        <f>E28*(1+UF_Assumptions_2!E11)</f>
        <v>11115.696977019983</v>
      </c>
      <c r="G28" s="13">
        <f>F28*(1+UF_Assumptions_2!F11)</f>
        <v>11593.671947031842</v>
      </c>
      <c r="H28" s="13">
        <f>G28*(1+UF_Assumptions_2!G11)</f>
        <v>12092.199840754211</v>
      </c>
      <c r="I28" s="13">
        <f>H28*(1+UF_Assumptions_2!H11)</f>
        <v>12608.133700626389</v>
      </c>
      <c r="J28" s="13">
        <f>I28*(1+UF_Assumptions_2!I11)</f>
        <v>13146.080738519782</v>
      </c>
      <c r="K28" s="13">
        <f>J28*(1+UF_Assumptions_2!J11)</f>
        <v>13706.980183363292</v>
      </c>
    </row>
    <row r="29" spans="1:12">
      <c r="A29" t="s">
        <v>11</v>
      </c>
      <c r="B29" s="13">
        <f>Baseline!J31*UF_Assumptions_1!B13*UF_Assumptions_1!D13*UF_Assumptions_1!C13*UF_Assumptions_1!J13*UF_Assumptions_1!G13*UF_Assumptions_1!F13</f>
        <v>6035.072584392613</v>
      </c>
      <c r="C29" s="13">
        <f>B29*(1+UF_Assumptions_2!B12)</f>
        <v>6360.9665039498141</v>
      </c>
      <c r="D29" s="13">
        <f>C29*(1+UF_Assumptions_2!C12)</f>
        <v>6704.4586951631045</v>
      </c>
      <c r="E29" s="13">
        <f>D29*(1+UF_Assumptions_2!D12)</f>
        <v>7066.4994647019121</v>
      </c>
      <c r="F29" s="13">
        <f>E29*(1+UF_Assumptions_2!E12)</f>
        <v>7448.0904357958161</v>
      </c>
      <c r="G29" s="13">
        <f>F29*(1+UF_Assumptions_2!F12)</f>
        <v>7865.1835002003818</v>
      </c>
      <c r="H29" s="13">
        <f>G29*(1+UF_Assumptions_2!G12)</f>
        <v>8266.3078587106011</v>
      </c>
      <c r="I29" s="13">
        <f>H29*(1+UF_Assumptions_2!H12)</f>
        <v>8709.93304712807</v>
      </c>
      <c r="J29" s="13">
        <f>I29*(1+UF_Assumptions_2!I12)</f>
        <v>9177.3661206572779</v>
      </c>
      <c r="K29" s="13">
        <f>J29*(1+UF_Assumptions_2!J12)</f>
        <v>9669.8847691325518</v>
      </c>
    </row>
    <row r="30" spans="1:12">
      <c r="A30" t="s">
        <v>13</v>
      </c>
      <c r="B30" s="13">
        <f>Baseline!J$35</f>
        <v>13015.934321462773</v>
      </c>
      <c r="C30" s="13">
        <f>Baseline!K$35</f>
        <v>13476.024721270978</v>
      </c>
      <c r="D30" s="13">
        <f>Baseline!L$35</f>
        <v>13923.220163679234</v>
      </c>
      <c r="E30" s="13">
        <f>Baseline!M$35</f>
        <v>14458.753862211928</v>
      </c>
      <c r="F30" s="13">
        <f>Baseline!N$35</f>
        <v>15047.036138730071</v>
      </c>
      <c r="G30" s="13">
        <f>Baseline!O$35</f>
        <v>15608.734786912868</v>
      </c>
      <c r="H30" s="13">
        <f>Baseline!P$35</f>
        <v>16159.948137089295</v>
      </c>
      <c r="I30" s="13">
        <f>Baseline!Q$35</f>
        <v>16766.700865673727</v>
      </c>
      <c r="J30" s="13">
        <f>Baseline!R$35</f>
        <v>17396.231249972214</v>
      </c>
      <c r="K30" s="13">
        <f>Baseline!S$35</f>
        <v>18049.393987394586</v>
      </c>
    </row>
    <row r="31" spans="1:12">
      <c r="A31" s="6" t="s">
        <v>71</v>
      </c>
      <c r="B31" s="13">
        <f>Baseline!J36</f>
        <v>28791.565066927964</v>
      </c>
      <c r="C31" s="13">
        <f>B31*(1+UF_Assumptions_2!B14)</f>
        <v>30144.768625073575</v>
      </c>
      <c r="D31" s="13">
        <f>C31*(1+UF_Assumptions_2!C14)</f>
        <v>31561.572750452033</v>
      </c>
      <c r="E31" s="13">
        <f>D31*(1+UF_Assumptions_2!D14)</f>
        <v>33076.528242473731</v>
      </c>
      <c r="F31" s="13">
        <f>E31*(1+UF_Assumptions_2!E14)</f>
        <v>34664.201598112471</v>
      </c>
      <c r="G31" s="13">
        <f>F31*(1+UF_Assumptions_2!F14)</f>
        <v>36328.083274821875</v>
      </c>
      <c r="H31" s="13">
        <f>G31*(1+UF_Assumptions_2!G14)</f>
        <v>38035.503188738498</v>
      </c>
      <c r="I31" s="13">
        <f>H31*(1+UF_Assumptions_2!H14)</f>
        <v>39848.528840735038</v>
      </c>
      <c r="J31" s="13">
        <f>I31*(1+UF_Assumptions_2!I14)</f>
        <v>41747.975382143413</v>
      </c>
      <c r="K31" s="13">
        <f>J31*(1+UF_Assumptions_2!J14)</f>
        <v>43737.962208692254</v>
      </c>
    </row>
    <row r="32" spans="1:12">
      <c r="A32" s="6" t="s">
        <v>166</v>
      </c>
      <c r="B32" s="13">
        <f>SUM(B20:B29)*(UF_Assumptions_1!B$19/(1-UF_Assumptions_1!B$19))</f>
        <v>27512.315392460838</v>
      </c>
      <c r="C32" s="13">
        <f>SUM(C20:C29)*(UF_Assumptions_1!C$19/(1-UF_Assumptions_1!C$19))</f>
        <v>28931.437131984643</v>
      </c>
      <c r="D32" s="13">
        <f>SUM(D20:D29)*(UF_Assumptions_1!D$19/(1-UF_Assumptions_1!D$19))</f>
        <v>30402.256632938886</v>
      </c>
      <c r="E32" s="13">
        <f>SUM(E20:E29)*(UF_Assumptions_1!E$19/(1-UF_Assumptions_1!E$19))</f>
        <v>32003.266788612833</v>
      </c>
      <c r="F32" s="13">
        <f>SUM(F20:F29)*(UF_Assumptions_1!F$19/(1-UF_Assumptions_1!F$19))</f>
        <v>33704.639932514328</v>
      </c>
      <c r="G32" s="13">
        <f>SUM(G20:G29)*(UF_Assumptions_1!G$19/(1-UF_Assumptions_1!G$19))</f>
        <v>35462.626483257882</v>
      </c>
      <c r="H32" s="13">
        <f>SUM(H20:H29)*(UF_Assumptions_1!H$19/(1-UF_Assumptions_1!H$19))</f>
        <v>37309.179199085229</v>
      </c>
      <c r="I32" s="13">
        <f>SUM(I20:I29)*(UF_Assumptions_1!I$19/(1-UF_Assumptions_1!I$19))</f>
        <v>39268.679479033191</v>
      </c>
      <c r="J32" s="13">
        <f>SUM(J20:J29)*(UF_Assumptions_1!J$19/(1-UF_Assumptions_1!J$19))</f>
        <v>41332.191539554566</v>
      </c>
      <c r="K32" s="13">
        <f>SUM(K20:K29)*(UF_Assumptions_1!K$19/(1-UF_Assumptions_1!K$19))</f>
        <v>43505.291589249457</v>
      </c>
      <c r="L32" s="56">
        <f>B32/((SUM(B20:B29)+B32))</f>
        <v>0.06</v>
      </c>
    </row>
    <row r="33" spans="1:11">
      <c r="A33" s="212" t="s">
        <v>218</v>
      </c>
      <c r="B33" s="13">
        <f>UF_Assumptions_1!$B$28*UF_Assumptions_1!$B$30/1000000</f>
        <v>1042.6805944431842</v>
      </c>
      <c r="C33" s="13">
        <f>UF_Assumptions_1!$B$28*UF_Assumptions_1!$B$30/1000000</f>
        <v>1042.6805944431842</v>
      </c>
      <c r="D33" s="13">
        <f>UF_Assumptions_1!$B$28*UF_Assumptions_1!$B$30/1000000</f>
        <v>1042.6805944431842</v>
      </c>
      <c r="E33" s="13">
        <f>UF_Assumptions_1!$B$28*UF_Assumptions_1!$B$30/1000000</f>
        <v>1042.6805944431842</v>
      </c>
      <c r="F33" s="13">
        <f>UF_Assumptions_1!$B$28*UF_Assumptions_1!$B$30/1000000</f>
        <v>1042.6805944431842</v>
      </c>
      <c r="G33" s="13">
        <f>UF_Assumptions_1!$B$28*UF_Assumptions_1!$B$30/1000000</f>
        <v>1042.6805944431842</v>
      </c>
      <c r="H33" s="13">
        <f>UF_Assumptions_1!$B$28*UF_Assumptions_1!$B$30/1000000</f>
        <v>1042.6805944431842</v>
      </c>
      <c r="I33" s="13">
        <f>UF_Assumptions_1!$B$28*UF_Assumptions_1!$B$30/1000000</f>
        <v>1042.6805944431842</v>
      </c>
      <c r="J33" s="13">
        <f>UF_Assumptions_1!$B$28*UF_Assumptions_1!$B$30/1000000</f>
        <v>1042.6805944431842</v>
      </c>
      <c r="K33" s="13">
        <f>UF_Assumptions_1!$B$28*UF_Assumptions_1!$B$30/1000000</f>
        <v>1042.6805944431842</v>
      </c>
    </row>
    <row r="34" spans="1:11">
      <c r="A34" s="211" t="s">
        <v>276</v>
      </c>
      <c r="B34" s="13">
        <f>((UF_Calculations_2!B68-UF_Assumptions_1!$B$60)/UF_Assumptions_1!$B$63)+UF_Assumptions_1!$B$61</f>
        <v>3537.1633259899727</v>
      </c>
      <c r="C34" s="13">
        <f>((UF_Calculations_2!C68-UF_Assumptions_1!$B$60)/UF_Assumptions_1!$B$63)+UF_Assumptions_1!$B$61</f>
        <v>3705.923463008412</v>
      </c>
      <c r="D34" s="13">
        <f>((UF_Calculations_2!D68-UF_Assumptions_1!$B$60)/UF_Assumptions_1!$B$63)+UF_Assumptions_1!$B$61</f>
        <v>3881.0383967262505</v>
      </c>
      <c r="E34" s="13">
        <f>((UF_Calculations_2!E68-UF_Assumptions_1!$B$60)/UF_Assumptions_1!$B$63)+UF_Assumptions_1!$B$61</f>
        <v>4068.8353377590647</v>
      </c>
      <c r="F34" s="13">
        <f>((UF_Calculations_2!F68-UF_Assumptions_1!$B$60)/UF_Assumptions_1!$B$63)+UF_Assumptions_1!$B$61</f>
        <v>4261.1935141893082</v>
      </c>
      <c r="G34" s="13">
        <f>((UF_Calculations_2!G68-UF_Assumptions_1!$B$60)/UF_Assumptions_1!$B$63)+UF_Assumptions_1!$B$61</f>
        <v>4460.2261555197774</v>
      </c>
      <c r="H34" s="13">
        <f>((UF_Calculations_2!H68-UF_Assumptions_1!$B$60)/UF_Assumptions_1!$B$63)+UF_Assumptions_1!$B$61</f>
        <v>4666.0796779086031</v>
      </c>
      <c r="I34" s="13">
        <f>((UF_Calculations_2!I68-UF_Assumptions_1!$B$60)/UF_Assumptions_1!$B$63)+UF_Assumptions_1!$B$61</f>
        <v>4877.6531648542959</v>
      </c>
      <c r="J34" s="13">
        <f>((UF_Calculations_2!J68-UF_Assumptions_1!$B$60)/UF_Assumptions_1!$B$63)+UF_Assumptions_1!$B$61</f>
        <v>5095.5151511496751</v>
      </c>
      <c r="K34" s="13">
        <f>((UF_Calculations_2!K68-UF_Assumptions_1!$B$60)/UF_Assumptions_1!$B$63)+UF_Assumptions_1!$B$61</f>
        <v>5319.6435224858287</v>
      </c>
    </row>
    <row r="35" spans="1:11">
      <c r="A35" s="8" t="s">
        <v>14</v>
      </c>
      <c r="B35" s="88">
        <f t="shared" ref="B35:K35" si="1">SUM(B20:B34)</f>
        <v>504925.9331831712</v>
      </c>
      <c r="C35" s="88">
        <f t="shared" si="1"/>
        <v>530560.01627020689</v>
      </c>
      <c r="D35" s="88">
        <f t="shared" si="1"/>
        <v>557112.78912094887</v>
      </c>
      <c r="E35" s="88">
        <f t="shared" si="1"/>
        <v>586034.57784710196</v>
      </c>
      <c r="F35" s="88">
        <f t="shared" si="1"/>
        <v>616759.11072071397</v>
      </c>
      <c r="G35" s="88">
        <f t="shared" si="1"/>
        <v>648483.49953266256</v>
      </c>
      <c r="H35" s="88">
        <f t="shared" si="1"/>
        <v>681723.86491626676</v>
      </c>
      <c r="I35" s="88">
        <f t="shared" si="1"/>
        <v>717013.55478292622</v>
      </c>
      <c r="J35" s="88">
        <f t="shared" si="1"/>
        <v>754152.26137028472</v>
      </c>
      <c r="K35" s="88">
        <f t="shared" si="1"/>
        <v>793237.87346717366</v>
      </c>
    </row>
    <row r="36" spans="1:11" s="2" customFormat="1">
      <c r="A36" s="2" t="s">
        <v>175</v>
      </c>
    </row>
    <row r="37" spans="1:11">
      <c r="A37" t="s">
        <v>4</v>
      </c>
      <c r="B37" s="13">
        <f>Baseline!J22*UF_Assumptions_1!B4*UF_Assumptions_1!E4*UF_Assumptions_1!H4*UF_Assumptions_1!C4*UF_Assumptions_1!I4*UF_Assumptions_1!G4*UF_Assumptions_1!F4</f>
        <v>158762.07942392305</v>
      </c>
      <c r="C37" s="13">
        <f>B37*(1+UF_Assumptions_2!B3)</f>
        <v>167335.23171281489</v>
      </c>
      <c r="D37" s="13">
        <f>C37*(1+UF_Assumptions_2!C3)</f>
        <v>176203.99899359405</v>
      </c>
      <c r="E37" s="13">
        <f>D37*(1+UF_Assumptions_2!D3)</f>
        <v>185895.21893824171</v>
      </c>
      <c r="F37" s="13">
        <f>E37*(1+UF_Assumptions_2!E3)</f>
        <v>196677.14163665974</v>
      </c>
      <c r="G37" s="13">
        <f>F37*(1+UF_Assumptions_2!F3)</f>
        <v>207297.70728503939</v>
      </c>
      <c r="H37" s="13">
        <f>G37*(1+UF_Assumptions_2!G3)</f>
        <v>218491.78347843152</v>
      </c>
      <c r="I37" s="13">
        <f>H37*(1+UF_Assumptions_2!H3)</f>
        <v>230581.66216423808</v>
      </c>
      <c r="J37" s="13">
        <f>I37*(1+UF_Assumptions_2!I3)</f>
        <v>243340.51413732595</v>
      </c>
      <c r="K37" s="13">
        <f>J37*(1+UF_Assumptions_2!J3)</f>
        <v>256805.35591959135</v>
      </c>
    </row>
    <row r="38" spans="1:11">
      <c r="A38" t="s">
        <v>5</v>
      </c>
      <c r="B38" s="13">
        <f>Baseline!J23*UF_Assumptions_1!B5*UF_Assumptions_1!E5*UF_Assumptions_1!H5*UF_Assumptions_1!C5*UF_Assumptions_1!I5*UF_Assumptions_1!G5*UF_Assumptions_1!F5</f>
        <v>115850.48024547381</v>
      </c>
      <c r="C38" s="13">
        <f>B38*(1+UF_Assumptions_2!B4)</f>
        <v>121643.00425774751</v>
      </c>
      <c r="D38" s="13">
        <f>C38*(1+UF_Assumptions_2!C4)</f>
        <v>127725.15447063489</v>
      </c>
      <c r="E38" s="13">
        <f>D38*(1+UF_Assumptions_2!D4)</f>
        <v>134494.58765757852</v>
      </c>
      <c r="F38" s="13">
        <f>E38*(1+UF_Assumptions_2!E4)</f>
        <v>141219.31704045745</v>
      </c>
      <c r="G38" s="13">
        <f>F38*(1+UF_Assumptions_2!F4)</f>
        <v>148421.50220952078</v>
      </c>
      <c r="H38" s="13">
        <f>G38*(1+UF_Assumptions_2!G4)</f>
        <v>155990.99882220634</v>
      </c>
      <c r="I38" s="13">
        <f>H38*(1+UF_Assumptions_2!H4)</f>
        <v>163894.54276253146</v>
      </c>
      <c r="J38" s="13">
        <f>I38*(1+UF_Assumptions_2!I4)</f>
        <v>172198.53292916639</v>
      </c>
      <c r="K38" s="13">
        <f>J38*(1+UF_Assumptions_2!J4)</f>
        <v>180923.25859757749</v>
      </c>
    </row>
    <row r="39" spans="1:11">
      <c r="A39" t="s">
        <v>6</v>
      </c>
      <c r="B39" s="13">
        <f>Baseline!J24*UF_Assumptions_1!B6*UF_Assumptions_1!E6*UF_Assumptions_1!H6*UF_Assumptions_1!C6*UF_Assumptions_1!I6*UF_Assumptions_1!G6*UF_Assumptions_1!F6</f>
        <v>13982.840409052773</v>
      </c>
      <c r="C39" s="13">
        <f>B39*(1+UF_Assumptions_2!B5)</f>
        <v>14681.982429505411</v>
      </c>
      <c r="D39" s="13">
        <f>C39*(1+UF_Assumptions_2!C5)</f>
        <v>15416.081550980683</v>
      </c>
      <c r="E39" s="13">
        <f>D39*(1+UF_Assumptions_2!D5)</f>
        <v>16171.469546978737</v>
      </c>
      <c r="F39" s="13">
        <f>E39*(1+UF_Assumptions_2!E5)</f>
        <v>16963.871554780693</v>
      </c>
      <c r="G39" s="13">
        <f>F39*(1+UF_Assumptions_2!F5)</f>
        <v>17812.065132519729</v>
      </c>
      <c r="H39" s="13">
        <f>G39*(1+UF_Assumptions_2!G5)</f>
        <v>18684.856324013195</v>
      </c>
      <c r="I39" s="13">
        <f>H39*(1+UF_Assumptions_2!H5)</f>
        <v>19606.642569331179</v>
      </c>
      <c r="J39" s="13">
        <f>I39*(1+UF_Assumptions_2!I5)</f>
        <v>20573.903602751514</v>
      </c>
      <c r="K39" s="13">
        <f>J39*(1+UF_Assumptions_2!J5)</f>
        <v>21588.88284715392</v>
      </c>
    </row>
    <row r="40" spans="1:11">
      <c r="A40" t="s">
        <v>7</v>
      </c>
      <c r="B40" s="13">
        <f>Baseline!J25*UF_Assumptions_1!B7*UF_Assumptions_1!E7*UF_Assumptions_1!H7*UF_Assumptions_1!C7*UF_Assumptions_1!I7*UF_Assumptions_1!G7*UF_Assumptions_1!F7</f>
        <v>23490.727223778569</v>
      </c>
      <c r="C40" s="13">
        <f>B40*(1+UF_Assumptions_2!B6)</f>
        <v>24406.865585505933</v>
      </c>
      <c r="D40" s="13">
        <f>C40*(1+UF_Assumptions_2!C6)</f>
        <v>25358.733343340664</v>
      </c>
      <c r="E40" s="13">
        <f>D40*(1+UF_Assumptions_2!D6)</f>
        <v>26347.723943730947</v>
      </c>
      <c r="F40" s="13">
        <f>E40*(1+UF_Assumptions_2!E6)</f>
        <v>27375.285177536451</v>
      </c>
      <c r="G40" s="13">
        <f>F40*(1+UF_Assumptions_2!F6)</f>
        <v>28415.546014282838</v>
      </c>
      <c r="H40" s="13">
        <f>G40*(1+UF_Assumptions_2!G6)</f>
        <v>29495.336762825587</v>
      </c>
      <c r="I40" s="13">
        <f>H40*(1+UF_Assumptions_2!H6)</f>
        <v>30625.9913387339</v>
      </c>
      <c r="J40" s="13">
        <f>I40*(1+UF_Assumptions_2!I6)</f>
        <v>31799.987673385367</v>
      </c>
      <c r="K40" s="13">
        <f>J40*(1+UF_Assumptions_2!J6)</f>
        <v>33018.987200865136</v>
      </c>
    </row>
    <row r="41" spans="1:11">
      <c r="A41" t="s">
        <v>8</v>
      </c>
      <c r="B41" s="13">
        <f>Baseline!J26*UF_Assumptions_1!B8*UF_Assumptions_1!E8*UF_Assumptions_1!H8*UF_Assumptions_1!C8*UF_Assumptions_1!I8*UF_Assumptions_1!G8*UF_Assumptions_1!F8</f>
        <v>27504.113438370092</v>
      </c>
      <c r="C41" s="13">
        <f>B41*(1+UF_Assumptions_2!B7)</f>
        <v>28934.327337165338</v>
      </c>
      <c r="D41" s="13">
        <f>C41*(1+UF_Assumptions_2!C7)</f>
        <v>30323.175049349276</v>
      </c>
      <c r="E41" s="13">
        <f>D41*(1+UF_Assumptions_2!D7)</f>
        <v>31899.980151915439</v>
      </c>
      <c r="F41" s="13">
        <f>E41*(1+UF_Assumptions_2!E7)</f>
        <v>33558.779119815044</v>
      </c>
      <c r="G41" s="13">
        <f>F41*(1+UF_Assumptions_2!F7)</f>
        <v>35303.835634045427</v>
      </c>
      <c r="H41" s="13">
        <f>G41*(1+UF_Assumptions_2!G7)</f>
        <v>37104.331251381744</v>
      </c>
      <c r="I41" s="13">
        <f>H41*(1+UF_Assumptions_2!H7)</f>
        <v>39021.388366036474</v>
      </c>
      <c r="J41" s="13">
        <f>I41*(1+UF_Assumptions_2!I7)</f>
        <v>41037.493431615025</v>
      </c>
      <c r="K41" s="13">
        <f>J41*(1+UF_Assumptions_2!J7)</f>
        <v>43157.763925581807</v>
      </c>
    </row>
    <row r="42" spans="1:11">
      <c r="A42" t="s">
        <v>9</v>
      </c>
      <c r="B42" s="13">
        <f>Baseline!J27*UF_Assumptions_1!B9*UF_Assumptions_1!E9*UF_Assumptions_1!H9*UF_Assumptions_1!C9*UF_Assumptions_1!I9*UF_Assumptions_1!G9*UF_Assumptions_1!F9</f>
        <v>19654.145846655058</v>
      </c>
      <c r="C42" s="13">
        <f>B42*(1+UF_Assumptions_2!B8)</f>
        <v>20970.973618380944</v>
      </c>
      <c r="D42" s="13">
        <f>C42*(1+UF_Assumptions_2!C8)</f>
        <v>22334.086903575702</v>
      </c>
      <c r="E42" s="13">
        <f>D42*(1+UF_Assumptions_2!D8)</f>
        <v>23808.136639211702</v>
      </c>
      <c r="F42" s="13">
        <f>E42*(1+UF_Assumptions_2!E8)</f>
        <v>25355.66552076046</v>
      </c>
      <c r="G42" s="13">
        <f>F42*(1+UF_Assumptions_2!F8)</f>
        <v>27054.495110651409</v>
      </c>
      <c r="H42" s="13">
        <f>G42*(1+UF_Assumptions_2!G8)</f>
        <v>28867.146283065053</v>
      </c>
      <c r="I42" s="13">
        <f>H42*(1+UF_Assumptions_2!H8)</f>
        <v>30782.000319841703</v>
      </c>
      <c r="J42" s="13">
        <f>I42*(1+UF_Assumptions_2!I8)</f>
        <v>32823.873007724535</v>
      </c>
      <c r="K42" s="13">
        <f>J42*(1+UF_Assumptions_2!J8)</f>
        <v>35001.18991723693</v>
      </c>
    </row>
    <row r="43" spans="1:11">
      <c r="A43" t="s">
        <v>10</v>
      </c>
      <c r="B43" s="13">
        <f>Baseline!J28*UF_Assumptions_1!B10*UF_Assumptions_1!E10*UF_Assumptions_1!H10*UF_Assumptions_1!C10*UF_Assumptions_1!I10*UF_Assumptions_1!G10*UF_Assumptions_1!F10</f>
        <v>17757.579038677741</v>
      </c>
      <c r="C43" s="13">
        <f>B43*(1+UF_Assumptions_2!B9)</f>
        <v>18521.154937340882</v>
      </c>
      <c r="D43" s="13">
        <f>C43*(1+UF_Assumptions_2!C9)</f>
        <v>19262.001134834518</v>
      </c>
      <c r="E43" s="13">
        <f>D43*(1+UF_Assumptions_2!D9)</f>
        <v>20032.4811802279</v>
      </c>
      <c r="F43" s="13">
        <f>E43*(1+UF_Assumptions_2!E9)</f>
        <v>20873.845389797472</v>
      </c>
      <c r="G43" s="13">
        <f>F43*(1+UF_Assumptions_2!F9)</f>
        <v>21792.294586948563</v>
      </c>
      <c r="H43" s="13">
        <f>G43*(1+UF_Assumptions_2!G9)</f>
        <v>22816.532432535143</v>
      </c>
      <c r="I43" s="13">
        <f>H43*(1+UF_Assumptions_2!H9)</f>
        <v>23828.065370377535</v>
      </c>
      <c r="J43" s="13">
        <f>I43*(1+UF_Assumptions_2!I9)</f>
        <v>24884.442935130941</v>
      </c>
      <c r="K43" s="13">
        <f>J43*(1+UF_Assumptions_2!J9)</f>
        <v>25987.653238588413</v>
      </c>
    </row>
    <row r="44" spans="1:11">
      <c r="A44" t="s">
        <v>18</v>
      </c>
      <c r="B44" s="13">
        <f>Baseline!J29*UF_Assumptions_1!B11*UF_Assumptions_1!E11*UF_Assumptions_1!H11*UF_Assumptions_1!C11*UF_Assumptions_1!I11*UF_Assumptions_1!G11*UF_Assumptions_1!F11</f>
        <v>28377.247329406087</v>
      </c>
      <c r="C44" s="13">
        <f>B44*(1+UF_Assumptions_2!B10)</f>
        <v>29881.24143786461</v>
      </c>
      <c r="D44" s="13">
        <f>C44*(1+UF_Assumptions_2!C10)</f>
        <v>31494.828475509301</v>
      </c>
      <c r="E44" s="13">
        <f>D44*(1+UF_Assumptions_2!D10)</f>
        <v>33164.054384711293</v>
      </c>
      <c r="F44" s="13">
        <f>E44*(1+UF_Assumptions_2!E10)</f>
        <v>34988.077375870409</v>
      </c>
      <c r="G44" s="13">
        <f>F44*(1+UF_Assumptions_2!F10)</f>
        <v>36912.421631543279</v>
      </c>
      <c r="H44" s="13">
        <f>G44*(1+UF_Assumptions_2!G10)</f>
        <v>38905.692399646614</v>
      </c>
      <c r="I44" s="13">
        <f>H44*(1+UF_Assumptions_2!H10)</f>
        <v>41032.536917493962</v>
      </c>
      <c r="J44" s="13">
        <f>I44*(1+UF_Assumptions_2!I10)</f>
        <v>43275.648935650301</v>
      </c>
      <c r="K44" s="13">
        <f>J44*(1+UF_Assumptions_2!J10)</f>
        <v>45641.384410799183</v>
      </c>
    </row>
    <row r="45" spans="1:11">
      <c r="A45" t="s">
        <v>16</v>
      </c>
      <c r="B45" s="13">
        <f>Baseline!J30*UF_Assumptions_1!B12*UF_Assumptions_1!E12*UF_Assumptions_1!H12*UF_Assumptions_1!C12*UF_Assumptions_1!I12*UF_Assumptions_1!G12*UF_Assumptions_1!F12</f>
        <v>9782.1964709051808</v>
      </c>
      <c r="C45" s="13">
        <f>B45*(1+UF_Assumptions_2!B11)</f>
        <v>10183.266526212292</v>
      </c>
      <c r="D45" s="13">
        <f>C45*(1+UF_Assumptions_2!C11)</f>
        <v>10610.963720313208</v>
      </c>
      <c r="E45" s="13">
        <f>D45*(1+UF_Assumptions_2!D11)</f>
        <v>11056.624196566363</v>
      </c>
      <c r="F45" s="13">
        <f>E45*(1+UF_Assumptions_2!E11)</f>
        <v>11521.00241282215</v>
      </c>
      <c r="G45" s="13">
        <f>F45*(1+UF_Assumptions_2!F11)</f>
        <v>12016.405516573503</v>
      </c>
      <c r="H45" s="13">
        <f>G45*(1+UF_Assumptions_2!G11)</f>
        <v>12533.110953786163</v>
      </c>
      <c r="I45" s="13">
        <f>H45*(1+UF_Assumptions_2!H11)</f>
        <v>13067.857021147705</v>
      </c>
      <c r="J45" s="13">
        <f>I45*(1+UF_Assumptions_2!I11)</f>
        <v>13625.418920716673</v>
      </c>
      <c r="K45" s="13">
        <f>J45*(1+UF_Assumptions_2!J11)</f>
        <v>14206.770128000584</v>
      </c>
    </row>
    <row r="46" spans="1:11">
      <c r="A46" t="s">
        <v>11</v>
      </c>
      <c r="B46" s="13">
        <f>Baseline!J31*UF_Assumptions_1!B13*UF_Assumptions_1!E13*UF_Assumptions_1!H13*UF_Assumptions_1!C13*UF_Assumptions_1!I13*UF_Assumptions_1!G13*UF_Assumptions_1!F13</f>
        <v>5891.3022225153381</v>
      </c>
      <c r="C46" s="13">
        <f>B46*(1+UF_Assumptions_2!B12)</f>
        <v>6209.4325425311663</v>
      </c>
      <c r="D46" s="13">
        <f>C46*(1+UF_Assumptions_2!C12)</f>
        <v>6544.7418998278499</v>
      </c>
      <c r="E46" s="13">
        <f>D46*(1+UF_Assumptions_2!D12)</f>
        <v>6898.1579624185542</v>
      </c>
      <c r="F46" s="13">
        <f>E46*(1+UF_Assumptions_2!E12)</f>
        <v>7270.6584923891569</v>
      </c>
      <c r="G46" s="13">
        <f>F46*(1+UF_Assumptions_2!F12)</f>
        <v>7677.8153679629504</v>
      </c>
      <c r="H46" s="13">
        <f>G46*(1+UF_Assumptions_2!G12)</f>
        <v>8069.3839517290608</v>
      </c>
      <c r="I46" s="13">
        <f>H46*(1+UF_Assumptions_2!H12)</f>
        <v>8502.4408904718548</v>
      </c>
      <c r="J46" s="13">
        <f>I46*(1+UF_Assumptions_2!I12)</f>
        <v>8958.7385515938458</v>
      </c>
      <c r="K46" s="13">
        <f>J46*(1+UF_Assumptions_2!J12)</f>
        <v>9439.5241871960498</v>
      </c>
    </row>
    <row r="47" spans="1:11">
      <c r="A47" t="s">
        <v>13</v>
      </c>
      <c r="B47" s="13">
        <f>Baseline!J$35</f>
        <v>13015.934321462773</v>
      </c>
      <c r="C47" s="13">
        <f>Baseline!K$35</f>
        <v>13476.024721270978</v>
      </c>
      <c r="D47" s="13">
        <f>Baseline!L$35</f>
        <v>13923.220163679234</v>
      </c>
      <c r="E47" s="13">
        <f>Baseline!M$35</f>
        <v>14458.753862211928</v>
      </c>
      <c r="F47" s="13">
        <f>Baseline!N$35</f>
        <v>15047.036138730071</v>
      </c>
      <c r="G47" s="13">
        <f>Baseline!O$35</f>
        <v>15608.734786912868</v>
      </c>
      <c r="H47" s="13">
        <f>Baseline!P$35</f>
        <v>16159.948137089295</v>
      </c>
      <c r="I47" s="13">
        <f>Baseline!Q$35</f>
        <v>16766.700865673727</v>
      </c>
      <c r="J47" s="13">
        <f>Baseline!R$35</f>
        <v>17396.231249972214</v>
      </c>
      <c r="K47" s="13">
        <f>Baseline!S$35</f>
        <v>18049.393987394586</v>
      </c>
    </row>
    <row r="48" spans="1:11">
      <c r="A48" s="6" t="s">
        <v>71</v>
      </c>
      <c r="B48" s="13">
        <f>Baseline!J36</f>
        <v>28791.565066927964</v>
      </c>
      <c r="C48" s="13">
        <f>B48*(1+UF_Assumptions_2!B14)</f>
        <v>30144.768625073575</v>
      </c>
      <c r="D48" s="13">
        <f>C48*(1+UF_Assumptions_2!C14)</f>
        <v>31561.572750452033</v>
      </c>
      <c r="E48" s="13">
        <f>D48*(1+UF_Assumptions_2!D14)</f>
        <v>33076.528242473731</v>
      </c>
      <c r="F48" s="13">
        <f>E48*(1+UF_Assumptions_2!E14)</f>
        <v>34664.201598112471</v>
      </c>
      <c r="G48" s="13">
        <f>F48*(1+UF_Assumptions_2!F14)</f>
        <v>36328.083274821875</v>
      </c>
      <c r="H48" s="13">
        <f>G48*(1+UF_Assumptions_2!G14)</f>
        <v>38035.503188738498</v>
      </c>
      <c r="I48" s="13">
        <f>H48*(1+UF_Assumptions_2!H14)</f>
        <v>39848.528840735038</v>
      </c>
      <c r="J48" s="13">
        <f>I48*(1+UF_Assumptions_2!I14)</f>
        <v>41747.975382143413</v>
      </c>
      <c r="K48" s="13">
        <f>J48*(1+UF_Assumptions_2!J14)</f>
        <v>43737.962208692254</v>
      </c>
    </row>
    <row r="49" spans="1:12">
      <c r="A49" s="6" t="s">
        <v>166</v>
      </c>
      <c r="B49" s="13">
        <f>SUM(B37:B46)*(UF_Assumptions_1!B$18/(1-UF_Assumptions_1!B$18))</f>
        <v>13022.248813879105</v>
      </c>
      <c r="C49" s="13">
        <f>SUM(C37:C46)*(UF_Assumptions_1!C$18/(1-UF_Assumptions_1!C$18))</f>
        <v>13693.839599538216</v>
      </c>
      <c r="D49" s="13">
        <f>SUM(D37:D46)*(UF_Assumptions_1!D$18/(1-UF_Assumptions_1!D$18))</f>
        <v>14389.910274493615</v>
      </c>
      <c r="E49" s="13">
        <f>SUM(E37:E46)*(UF_Assumptions_1!E$18/(1-UF_Assumptions_1!E$18))</f>
        <v>15147.477358811788</v>
      </c>
      <c r="F49" s="13">
        <f>SUM(F37:F46)*(UF_Assumptions_1!F$18/(1-UF_Assumptions_1!F$18))</f>
        <v>15952.690011986258</v>
      </c>
      <c r="G49" s="13">
        <f>SUM(G37:G46)*(UF_Assumptions_1!G$18/(1-UF_Assumptions_1!G$18))</f>
        <v>16784.662530590347</v>
      </c>
      <c r="H49" s="13">
        <f>SUM(H37:H46)*(UF_Assumptions_1!H$18/(1-UF_Assumptions_1!H$18))</f>
        <v>17658.531113184137</v>
      </c>
      <c r="I49" s="13">
        <f>SUM(I37:I46)*(UF_Assumptions_1!I$18/(1-UF_Assumptions_1!I$18))</f>
        <v>18585.869929490837</v>
      </c>
      <c r="J49" s="13">
        <f>SUM(J37:J46)*(UF_Assumptions_1!J$18/(1-UF_Assumptions_1!J$18))</f>
        <v>19562.429509022488</v>
      </c>
      <c r="K49" s="13">
        <f>SUM(K37:K46)*(UF_Assumptions_1!K$18/(1-UF_Assumptions_1!K$18))</f>
        <v>20590.848568224454</v>
      </c>
      <c r="L49" s="56">
        <f>B49/((SUM(B37:B46)+B49))</f>
        <v>3.0000000000000002E-2</v>
      </c>
    </row>
    <row r="50" spans="1:12">
      <c r="A50" s="212" t="s">
        <v>218</v>
      </c>
      <c r="B50" s="13">
        <f>UF_Assumptions_1!$B$28/1000000</f>
        <v>2085.3611888863684</v>
      </c>
      <c r="C50" s="13">
        <f>UF_Assumptions_1!$B$28/1000000</f>
        <v>2085.3611888863684</v>
      </c>
      <c r="D50" s="13">
        <f>UF_Assumptions_1!$B$28/1000000</f>
        <v>2085.3611888863684</v>
      </c>
      <c r="E50" s="13">
        <f>UF_Assumptions_1!$B$28/1000000</f>
        <v>2085.3611888863684</v>
      </c>
      <c r="F50" s="13">
        <f>UF_Assumptions_1!$B$28/1000000</f>
        <v>2085.3611888863684</v>
      </c>
      <c r="G50" s="13">
        <f>UF_Assumptions_1!$B$28/1000000</f>
        <v>2085.3611888863684</v>
      </c>
      <c r="H50" s="13">
        <f>UF_Assumptions_1!$B$28/1000000</f>
        <v>2085.3611888863684</v>
      </c>
      <c r="I50" s="13">
        <f>UF_Assumptions_1!$B$28/1000000</f>
        <v>2085.3611888863684</v>
      </c>
      <c r="J50" s="13">
        <f>UF_Assumptions_1!$B$28/1000000</f>
        <v>2085.3611888863684</v>
      </c>
      <c r="K50" s="13">
        <f>UF_Assumptions_1!$B$28/1000000</f>
        <v>2085.3611888863684</v>
      </c>
    </row>
    <row r="51" spans="1:12">
      <c r="A51" s="211" t="s">
        <v>276</v>
      </c>
      <c r="B51" s="213">
        <f>((UF_Calculations_2!B19-UF_Assumptions_1!$B$60)/UF_Assumptions_1!$B$63)+UF_Assumptions_1!$B$61</f>
        <v>4258.5816338963405</v>
      </c>
      <c r="C51" s="213">
        <f>((UF_Calculations_2!C19-UF_Assumptions_1!$B$60)/UF_Assumptions_1!$B$63)+UF_Assumptions_1!$B$61</f>
        <v>4451.4596144426778</v>
      </c>
      <c r="D51" s="213">
        <f>((UF_Calculations_2!D19-UF_Assumptions_1!$B$60)/UF_Assumptions_1!$B$63)+UF_Assumptions_1!$B$61</f>
        <v>4651.8380697410621</v>
      </c>
      <c r="E51" s="213">
        <f>((UF_Calculations_2!E19-UF_Assumptions_1!$B$60)/UF_Assumptions_1!$B$63)+UF_Assumptions_1!$B$61</f>
        <v>4866.2382830683755</v>
      </c>
      <c r="F51" s="213">
        <f>((UF_Calculations_2!F19-UF_Assumptions_1!$B$60)/UF_Assumptions_1!$B$63)+UF_Assumptions_1!$B$61</f>
        <v>5084.9691603666279</v>
      </c>
      <c r="G51" s="213">
        <f>((UF_Calculations_2!G19-UF_Assumptions_1!$B$60)/UF_Assumptions_1!$B$63)+UF_Assumptions_1!$B$61</f>
        <v>5311.1652783144327</v>
      </c>
      <c r="H51" s="213">
        <f>((UF_Calculations_2!H19-UF_Assumptions_1!$B$60)/UF_Assumptions_1!$B$63)+UF_Assumptions_1!$B$61</f>
        <v>5544.5813478800656</v>
      </c>
      <c r="I51" s="213">
        <f>((UF_Calculations_2!I19-UF_Assumptions_1!$B$60)/UF_Assumptions_1!$B$63)+UF_Assumptions_1!$B$61</f>
        <v>5783.6271027703506</v>
      </c>
      <c r="J51" s="213">
        <f>((UF_Calculations_2!J19-UF_Assumptions_1!$B$60)/UF_Assumptions_1!$B$63)+UF_Assumptions_1!$B$61</f>
        <v>6029.0567769216304</v>
      </c>
      <c r="K51" s="213">
        <f>((UF_Calculations_2!K19-UF_Assumptions_1!$B$60)/UF_Assumptions_1!$B$63)+UF_Assumptions_1!$B$61</f>
        <v>6280.7532639487399</v>
      </c>
    </row>
    <row r="52" spans="1:12">
      <c r="A52" s="8" t="s">
        <v>14</v>
      </c>
      <c r="B52" s="88">
        <f t="shared" ref="B52:K52" si="2">SUM(B37:B51)</f>
        <v>482226.40267381025</v>
      </c>
      <c r="C52" s="88">
        <f t="shared" si="2"/>
        <v>506618.93413428083</v>
      </c>
      <c r="D52" s="88">
        <f t="shared" si="2"/>
        <v>531885.66798921244</v>
      </c>
      <c r="E52" s="88">
        <f t="shared" si="2"/>
        <v>559402.79353703337</v>
      </c>
      <c r="F52" s="88">
        <f t="shared" si="2"/>
        <v>588637.9018189708</v>
      </c>
      <c r="G52" s="88">
        <f t="shared" si="2"/>
        <v>618822.0955486137</v>
      </c>
      <c r="H52" s="88">
        <f t="shared" si="2"/>
        <v>650443.09763539874</v>
      </c>
      <c r="I52" s="88">
        <f t="shared" si="2"/>
        <v>684013.21564776008</v>
      </c>
      <c r="J52" s="88">
        <f t="shared" si="2"/>
        <v>719339.60823200655</v>
      </c>
      <c r="K52" s="88">
        <f t="shared" si="2"/>
        <v>756515.08958973701</v>
      </c>
    </row>
    <row r="53" spans="1:12" s="2" customFormat="1">
      <c r="A53" s="2" t="s">
        <v>176</v>
      </c>
    </row>
    <row r="54" spans="1:12">
      <c r="A54" t="s">
        <v>4</v>
      </c>
      <c r="B54" s="13">
        <f>Baseline!J22*UF_Assumptions_1!B4*UF_Assumptions_1!E4*UF_Assumptions_1!C4*UF_Assumptions_1!J4*UF_Assumptions_1!G4*UF_Assumptions_1!F4</f>
        <v>157551.65832003992</v>
      </c>
      <c r="C54" s="13">
        <f>B54*(1+UF_Assumptions_2!B3)</f>
        <v>166059.44786932209</v>
      </c>
      <c r="D54" s="13">
        <f>C54*(1+UF_Assumptions_2!C3)</f>
        <v>174860.59860639615</v>
      </c>
      <c r="E54" s="13">
        <f>D54*(1+UF_Assumptions_2!D3)</f>
        <v>184477.93152974793</v>
      </c>
      <c r="F54" s="13">
        <f>E54*(1+UF_Assumptions_2!E3)</f>
        <v>195177.65155847333</v>
      </c>
      <c r="G54" s="13">
        <f>F54*(1+UF_Assumptions_2!F3)</f>
        <v>205717.24474263089</v>
      </c>
      <c r="H54" s="13">
        <f>G54*(1+UF_Assumptions_2!G3)</f>
        <v>216825.97595873298</v>
      </c>
      <c r="I54" s="13">
        <f>H54*(1+UF_Assumptions_2!H3)</f>
        <v>228823.67996178288</v>
      </c>
      <c r="J54" s="13">
        <f>I54*(1+UF_Assumptions_2!I3)</f>
        <v>241485.25691966823</v>
      </c>
      <c r="K54" s="13">
        <f>J54*(1+UF_Assumptions_2!J3)</f>
        <v>254847.44113588991</v>
      </c>
    </row>
    <row r="55" spans="1:12">
      <c r="A55" t="s">
        <v>5</v>
      </c>
      <c r="B55" s="13">
        <f>Baseline!J23*UF_Assumptions_1!B5*UF_Assumptions_1!E5*UF_Assumptions_1!C5*UF_Assumptions_1!J5*UF_Assumptions_1!G5*UF_Assumptions_1!F5</f>
        <v>112776.06196739181</v>
      </c>
      <c r="C55" s="13">
        <f>B55*(1+UF_Assumptions_2!B4)</f>
        <v>118414.86506576141</v>
      </c>
      <c r="D55" s="13">
        <f>C55*(1+UF_Assumptions_2!C4)</f>
        <v>124335.60831904948</v>
      </c>
      <c r="E55" s="13">
        <f>D55*(1+UF_Assumptions_2!D4)</f>
        <v>130925.3955599591</v>
      </c>
      <c r="F55" s="13">
        <f>E55*(1+UF_Assumptions_2!E4)</f>
        <v>137471.66533795706</v>
      </c>
      <c r="G55" s="13">
        <f>F55*(1+UF_Assumptions_2!F4)</f>
        <v>144482.72027019286</v>
      </c>
      <c r="H55" s="13">
        <f>G55*(1+UF_Assumptions_2!G4)</f>
        <v>151851.33900397268</v>
      </c>
      <c r="I55" s="13">
        <f>H55*(1+UF_Assumptions_2!H4)</f>
        <v>159545.14018017397</v>
      </c>
      <c r="J55" s="13">
        <f>I55*(1+UF_Assumptions_2!I4)</f>
        <v>167628.76061596946</v>
      </c>
      <c r="K55" s="13">
        <f>J55*(1+UF_Assumptions_2!J4)</f>
        <v>176121.95115384524</v>
      </c>
    </row>
    <row r="56" spans="1:12">
      <c r="A56" t="s">
        <v>6</v>
      </c>
      <c r="B56" s="13">
        <f>Baseline!J24*UF_Assumptions_1!B6*UF_Assumptions_1!E6*UF_Assumptions_1!C6*UF_Assumptions_1!J6*UF_Assumptions_1!G6*UF_Assumptions_1!F6</f>
        <v>13490.92824527821</v>
      </c>
      <c r="C56" s="13">
        <f>B56*(1+UF_Assumptions_2!B5)</f>
        <v>14165.474657542121</v>
      </c>
      <c r="D56" s="13">
        <f>C56*(1+UF_Assumptions_2!C5)</f>
        <v>14873.748390419229</v>
      </c>
      <c r="E56" s="13">
        <f>D56*(1+UF_Assumptions_2!D5)</f>
        <v>15602.56206154977</v>
      </c>
      <c r="F56" s="13">
        <f>E56*(1+UF_Assumptions_2!E5)</f>
        <v>16367.087602565707</v>
      </c>
      <c r="G56" s="13">
        <f>F56*(1+UF_Assumptions_2!F5)</f>
        <v>17185.441982693992</v>
      </c>
      <c r="H56" s="13">
        <f>G56*(1+UF_Assumptions_2!G5)</f>
        <v>18027.528639845998</v>
      </c>
      <c r="I56" s="13">
        <f>H56*(1+UF_Assumptions_2!H5)</f>
        <v>18916.88671941173</v>
      </c>
      <c r="J56" s="13">
        <f>I56*(1+UF_Assumptions_2!I5)</f>
        <v>19850.119797569372</v>
      </c>
      <c r="K56" s="13">
        <f>J56*(1+UF_Assumptions_2!J5)</f>
        <v>20829.392374249459</v>
      </c>
    </row>
    <row r="57" spans="1:12">
      <c r="A57" t="s">
        <v>7</v>
      </c>
      <c r="B57" s="13">
        <f>Baseline!J25*UF_Assumptions_1!B7*UF_Assumptions_1!E7*UF_Assumptions_1!C7*UF_Assumptions_1!J7*UF_Assumptions_1!G7*UF_Assumptions_1!F7</f>
        <v>22664.330431764425</v>
      </c>
      <c r="C57" s="13">
        <f>B57*(1+UF_Assumptions_2!B6)</f>
        <v>23548.239318603235</v>
      </c>
      <c r="D57" s="13">
        <f>C57*(1+UF_Assumptions_2!C6)</f>
        <v>24466.62065202876</v>
      </c>
      <c r="E57" s="13">
        <f>D57*(1+UF_Assumptions_2!D6)</f>
        <v>25420.818857457878</v>
      </c>
      <c r="F57" s="13">
        <f>E57*(1+UF_Assumptions_2!E6)</f>
        <v>26412.230792898732</v>
      </c>
      <c r="G57" s="13">
        <f>F57*(1+UF_Assumptions_2!F6)</f>
        <v>27415.895563028884</v>
      </c>
      <c r="H57" s="13">
        <f>G57*(1+UF_Assumptions_2!G6)</f>
        <v>28457.699594423982</v>
      </c>
      <c r="I57" s="13">
        <f>H57*(1+UF_Assumptions_2!H6)</f>
        <v>29548.578078876901</v>
      </c>
      <c r="J57" s="13">
        <f>I57*(1+UF_Assumptions_2!I6)</f>
        <v>30681.273571900514</v>
      </c>
      <c r="K57" s="13">
        <f>J57*(1+UF_Assumptions_2!J6)</f>
        <v>31857.389058823366</v>
      </c>
    </row>
    <row r="58" spans="1:12">
      <c r="A58" t="s">
        <v>8</v>
      </c>
      <c r="B58" s="13">
        <f>Baseline!J26*UF_Assumptions_1!B8*UF_Assumptions_1!E8*UF_Assumptions_1!C8*UF_Assumptions_1!J8*UF_Assumptions_1!G8*UF_Assumptions_1!F8</f>
        <v>28096.874696395342</v>
      </c>
      <c r="C58" s="13">
        <f>B58*(1+UF_Assumptions_2!B7)</f>
        <v>29557.912180607902</v>
      </c>
      <c r="D58" s="13">
        <f>C58*(1+UF_Assumptions_2!C7)</f>
        <v>30976.691965277081</v>
      </c>
      <c r="E58" s="13">
        <f>D58*(1+UF_Assumptions_2!D7)</f>
        <v>32587.479947471489</v>
      </c>
      <c r="F58" s="13">
        <f>E58*(1+UF_Assumptions_2!E7)</f>
        <v>34282.028904740007</v>
      </c>
      <c r="G58" s="13">
        <f>F58*(1+UF_Assumptions_2!F7)</f>
        <v>36064.69440778649</v>
      </c>
      <c r="H58" s="13">
        <f>G58*(1+UF_Assumptions_2!G7)</f>
        <v>37903.993822583601</v>
      </c>
      <c r="I58" s="13">
        <f>H58*(1+UF_Assumptions_2!H7)</f>
        <v>39862.366836750421</v>
      </c>
      <c r="J58" s="13">
        <f>I58*(1+UF_Assumptions_2!I7)</f>
        <v>41921.922456649198</v>
      </c>
      <c r="K58" s="13">
        <f>J58*(1+UF_Assumptions_2!J7)</f>
        <v>44087.888450242746</v>
      </c>
    </row>
    <row r="59" spans="1:12">
      <c r="A59" t="s">
        <v>9</v>
      </c>
      <c r="B59" s="13">
        <f>Baseline!J27*UF_Assumptions_1!B9*UF_Assumptions_1!E9*UF_Assumptions_1!C9*UF_Assumptions_1!J9*UF_Assumptions_1!G9*UF_Assumptions_1!F9</f>
        <v>18962.718845578111</v>
      </c>
      <c r="C59" s="13">
        <f>B59*(1+UF_Assumptions_2!B8)</f>
        <v>20233.221008231842</v>
      </c>
      <c r="D59" s="13">
        <f>C59*(1+UF_Assumptions_2!C8)</f>
        <v>21548.380373766911</v>
      </c>
      <c r="E59" s="13">
        <f>D59*(1+UF_Assumptions_2!D8)</f>
        <v>22970.57347843553</v>
      </c>
      <c r="F59" s="13">
        <f>E59*(1+UF_Assumptions_2!E8)</f>
        <v>24463.660754533837</v>
      </c>
      <c r="G59" s="13">
        <f>F59*(1+UF_Assumptions_2!F8)</f>
        <v>26102.726025087602</v>
      </c>
      <c r="H59" s="13">
        <f>G59*(1+UF_Assumptions_2!G8)</f>
        <v>27851.608668768469</v>
      </c>
      <c r="I59" s="13">
        <f>H59*(1+UF_Assumptions_2!H8)</f>
        <v>29699.098710463444</v>
      </c>
      <c r="J59" s="13">
        <f>I59*(1+UF_Assumptions_2!I8)</f>
        <v>31669.138924924187</v>
      </c>
      <c r="K59" s="13">
        <f>J59*(1+UF_Assumptions_2!J8)</f>
        <v>33769.858473610824</v>
      </c>
    </row>
    <row r="60" spans="1:12">
      <c r="A60" t="s">
        <v>10</v>
      </c>
      <c r="B60" s="13">
        <f>Baseline!J28*UF_Assumptions_1!B10*UF_Assumptions_1!E10*UF_Assumptions_1!C10*UF_Assumptions_1!J10*UF_Assumptions_1!G10*UF_Assumptions_1!F10</f>
        <v>18140.285607789145</v>
      </c>
      <c r="C60" s="13">
        <f>B60*(1+UF_Assumptions_2!B9)</f>
        <v>18920.317888924077</v>
      </c>
      <c r="D60" s="13">
        <f>C60*(1+UF_Assumptions_2!C9)</f>
        <v>19677.130604481041</v>
      </c>
      <c r="E60" s="13">
        <f>D60*(1+UF_Assumptions_2!D9)</f>
        <v>20464.215828660283</v>
      </c>
      <c r="F60" s="13">
        <f>E60*(1+UF_Assumptions_2!E9)</f>
        <v>21323.712893464017</v>
      </c>
      <c r="G60" s="13">
        <f>F60*(1+UF_Assumptions_2!F9)</f>
        <v>22261.956260776435</v>
      </c>
      <c r="H60" s="13">
        <f>G60*(1+UF_Assumptions_2!G9)</f>
        <v>23308.268205032924</v>
      </c>
      <c r="I60" s="13">
        <f>H60*(1+UF_Assumptions_2!H9)</f>
        <v>24341.601428789385</v>
      </c>
      <c r="J60" s="13">
        <f>I60*(1+UF_Assumptions_2!I9)</f>
        <v>25420.745758799047</v>
      </c>
      <c r="K60" s="13">
        <f>J60*(1+UF_Assumptions_2!J9)</f>
        <v>26547.732154105805</v>
      </c>
    </row>
    <row r="61" spans="1:12">
      <c r="A61" t="s">
        <v>18</v>
      </c>
      <c r="B61" s="13">
        <f>Baseline!J29*UF_Assumptions_1!B11*UF_Assumptions_1!E11*UF_Assumptions_1!C11*UF_Assumptions_1!J11*UF_Assumptions_1!G11*UF_Assumptions_1!F11</f>
        <v>26936.689422329699</v>
      </c>
      <c r="C61" s="13">
        <f>B61*(1+UF_Assumptions_2!B10)</f>
        <v>28364.333961713171</v>
      </c>
      <c r="D61" s="13">
        <f>C61*(1+UF_Assumptions_2!C10)</f>
        <v>29896.007995645683</v>
      </c>
      <c r="E61" s="13">
        <f>D61*(1+UF_Assumptions_2!D10)</f>
        <v>31480.496419414903</v>
      </c>
      <c r="F61" s="13">
        <f>E61*(1+UF_Assumptions_2!E10)</f>
        <v>33211.923722482723</v>
      </c>
      <c r="G61" s="13">
        <f>F61*(1+UF_Assumptions_2!F10)</f>
        <v>35038.57952721927</v>
      </c>
      <c r="H61" s="13">
        <f>G61*(1+UF_Assumptions_2!G10)</f>
        <v>36930.662821689111</v>
      </c>
      <c r="I61" s="13">
        <f>H61*(1+UF_Assumptions_2!H10)</f>
        <v>38949.539055941452</v>
      </c>
      <c r="J61" s="13">
        <f>I61*(1+UF_Assumptions_2!I10)</f>
        <v>41078.78052433292</v>
      </c>
      <c r="K61" s="13">
        <f>J61*(1+UF_Assumptions_2!J10)</f>
        <v>43324.420526329784</v>
      </c>
    </row>
    <row r="62" spans="1:12">
      <c r="A62" t="s">
        <v>16</v>
      </c>
      <c r="B62" s="13">
        <f>Baseline!J30*UF_Assumptions_1!B12*UF_Assumptions_1!E12*UF_Assumptions_1!C12*UF_Assumptions_1!J12*UF_Assumptions_1!G12*UF_Assumptions_1!F12</f>
        <v>9438.0617106060163</v>
      </c>
      <c r="C62" s="13">
        <f>B62*(1+UF_Assumptions_2!B11)</f>
        <v>9825.0222407408619</v>
      </c>
      <c r="D62" s="13">
        <f>C62*(1+UF_Assumptions_2!C11)</f>
        <v>10237.673174851978</v>
      </c>
      <c r="E62" s="13">
        <f>D62*(1+UF_Assumptions_2!D11)</f>
        <v>10667.655448195761</v>
      </c>
      <c r="F62" s="13">
        <f>E62*(1+UF_Assumptions_2!E11)</f>
        <v>11115.696977019983</v>
      </c>
      <c r="G62" s="13">
        <f>F62*(1+UF_Assumptions_2!F11)</f>
        <v>11593.671947031842</v>
      </c>
      <c r="H62" s="13">
        <f>G62*(1+UF_Assumptions_2!G11)</f>
        <v>12092.199840754211</v>
      </c>
      <c r="I62" s="13">
        <f>H62*(1+UF_Assumptions_2!H11)</f>
        <v>12608.133700626389</v>
      </c>
      <c r="J62" s="13">
        <f>I62*(1+UF_Assumptions_2!I11)</f>
        <v>13146.080738519782</v>
      </c>
      <c r="K62" s="13">
        <f>J62*(1+UF_Assumptions_2!J11)</f>
        <v>13706.980183363292</v>
      </c>
    </row>
    <row r="63" spans="1:12">
      <c r="A63" t="s">
        <v>11</v>
      </c>
      <c r="B63" s="13">
        <f>Baseline!J31*UF_Assumptions_1!B13*UF_Assumptions_1!E13*UF_Assumptions_1!C13*UF_Assumptions_1!J13*UF_Assumptions_1!G13*UF_Assumptions_1!F13</f>
        <v>5684.0479637989774</v>
      </c>
      <c r="C63" s="13">
        <f>B63*(1+UF_Assumptions_2!B12)</f>
        <v>5990.9865538441227</v>
      </c>
      <c r="D63" s="13">
        <f>C63*(1+UF_Assumptions_2!C12)</f>
        <v>6314.4998277517052</v>
      </c>
      <c r="E63" s="13">
        <f>D63*(1+UF_Assumptions_2!D12)</f>
        <v>6655.4828184502976</v>
      </c>
      <c r="F63" s="13">
        <f>E63*(1+UF_Assumptions_2!E12)</f>
        <v>7014.8788906466143</v>
      </c>
      <c r="G63" s="13">
        <f>F63*(1+UF_Assumptions_2!F12)</f>
        <v>7407.7121085228255</v>
      </c>
      <c r="H63" s="13">
        <f>G63*(1+UF_Assumptions_2!G12)</f>
        <v>7785.5054260574889</v>
      </c>
      <c r="I63" s="13">
        <f>H63*(1+UF_Assumptions_2!H12)</f>
        <v>8203.3275505892416</v>
      </c>
      <c r="J63" s="13">
        <f>I63*(1+UF_Assumptions_2!I12)</f>
        <v>8643.5727958041989</v>
      </c>
      <c r="K63" s="13">
        <f>J63*(1+UF_Assumptions_2!J12)</f>
        <v>9107.4445358456924</v>
      </c>
    </row>
    <row r="64" spans="1:12">
      <c r="A64" t="s">
        <v>13</v>
      </c>
      <c r="B64" s="13">
        <f>Baseline!J$35</f>
        <v>13015.934321462773</v>
      </c>
      <c r="C64" s="13">
        <f>Baseline!K$35</f>
        <v>13476.024721270978</v>
      </c>
      <c r="D64" s="13">
        <f>Baseline!L$35</f>
        <v>13923.220163679234</v>
      </c>
      <c r="E64" s="13">
        <f>Baseline!M$35</f>
        <v>14458.753862211928</v>
      </c>
      <c r="F64" s="13">
        <f>Baseline!N$35</f>
        <v>15047.036138730071</v>
      </c>
      <c r="G64" s="13">
        <f>Baseline!O$35</f>
        <v>15608.734786912868</v>
      </c>
      <c r="H64" s="13">
        <f>Baseline!P$35</f>
        <v>16159.948137089295</v>
      </c>
      <c r="I64" s="13">
        <f>Baseline!Q$35</f>
        <v>16766.700865673727</v>
      </c>
      <c r="J64" s="13">
        <f>Baseline!R$35</f>
        <v>17396.231249972214</v>
      </c>
      <c r="K64" s="13">
        <f>Baseline!S$35</f>
        <v>18049.393987394586</v>
      </c>
    </row>
    <row r="65" spans="1:19">
      <c r="A65" s="6" t="s">
        <v>71</v>
      </c>
      <c r="B65" s="13">
        <f>Baseline!J36</f>
        <v>28791.565066927964</v>
      </c>
      <c r="C65" s="13">
        <f>B65*(1+UF_Assumptions_2!B14)</f>
        <v>30144.768625073575</v>
      </c>
      <c r="D65" s="13">
        <f>C65*(1+UF_Assumptions_2!C14)</f>
        <v>31561.572750452033</v>
      </c>
      <c r="E65" s="13">
        <f>D65*(1+UF_Assumptions_2!D14)</f>
        <v>33076.528242473731</v>
      </c>
      <c r="F65" s="13">
        <f>E65*(1+UF_Assumptions_2!E14)</f>
        <v>34664.201598112471</v>
      </c>
      <c r="G65" s="13">
        <f>F65*(1+UF_Assumptions_2!F14)</f>
        <v>36328.083274821875</v>
      </c>
      <c r="H65" s="13">
        <f>G65*(1+UF_Assumptions_2!G14)</f>
        <v>38035.503188738498</v>
      </c>
      <c r="I65" s="13">
        <f>H65*(1+UF_Assumptions_2!H14)</f>
        <v>39848.528840735038</v>
      </c>
      <c r="J65" s="13">
        <f>I65*(1+UF_Assumptions_2!I14)</f>
        <v>41747.975382143413</v>
      </c>
      <c r="K65" s="13">
        <f>J65*(1+UF_Assumptions_2!J14)</f>
        <v>43737.962208692254</v>
      </c>
    </row>
    <row r="66" spans="1:19">
      <c r="A66" s="6" t="s">
        <v>166</v>
      </c>
      <c r="B66" s="13">
        <f>SUM(B54:B63)*(UF_Assumptions_1!B$19/(1-UF_Assumptions_1!B$19))</f>
        <v>26409.041949636485</v>
      </c>
      <c r="C66" s="13">
        <f>SUM(C54:C63)*(UF_Assumptions_1!C$19/(1-UF_Assumptions_1!C$19))</f>
        <v>27771.052387997293</v>
      </c>
      <c r="D66" s="13">
        <f>SUM(D54:D63)*(UF_Assumptions_1!D$19/(1-UF_Assumptions_1!D$19))</f>
        <v>29182.146377212852</v>
      </c>
      <c r="E66" s="13">
        <f>SUM(E54:E63)*(UF_Assumptions_1!E$19/(1-UF_Assumptions_1!E$19))</f>
        <v>30718.251826553798</v>
      </c>
      <c r="F66" s="13">
        <f>SUM(F54:F63)*(UF_Assumptions_1!F$19/(1-UF_Assumptions_1!F$19))</f>
        <v>32351.523666049914</v>
      </c>
      <c r="G66" s="13">
        <f>SUM(G54:G63)*(UF_Assumptions_1!G$19/(1-UF_Assumptions_1!G$19))</f>
        <v>34038.551670317291</v>
      </c>
      <c r="H66" s="13">
        <f>SUM(H54:H63)*(UF_Assumptions_1!H$19/(1-UF_Assumptions_1!H$19))</f>
        <v>35810.730764799664</v>
      </c>
      <c r="I66" s="13">
        <f>SUM(I54:I63)*(UF_Assumptions_1!I$19/(1-UF_Assumptions_1!I$19))</f>
        <v>37691.384184472707</v>
      </c>
      <c r="J66" s="13">
        <f>SUM(J54:J63)*(UF_Assumptions_1!J$19/(1-UF_Assumptions_1!J$19))</f>
        <v>39671.850134306609</v>
      </c>
      <c r="K66" s="13">
        <f>SUM(K54:K63)*(UF_Assumptions_1!K$19/(1-UF_Assumptions_1!K$19))</f>
        <v>41757.478598700385</v>
      </c>
      <c r="L66" s="56">
        <f>B66/((SUM(B54:B63)+B66))</f>
        <v>0.06</v>
      </c>
    </row>
    <row r="67" spans="1:19">
      <c r="A67" s="212" t="s">
        <v>218</v>
      </c>
      <c r="B67" s="13">
        <f>UF_Assumptions_1!$B$28*UF_Assumptions_1!$B$30/1000000</f>
        <v>1042.6805944431842</v>
      </c>
      <c r="C67" s="13">
        <f>UF_Assumptions_1!$B$28*UF_Assumptions_1!$B$30/1000000</f>
        <v>1042.6805944431842</v>
      </c>
      <c r="D67" s="13">
        <f>UF_Assumptions_1!$B$28*UF_Assumptions_1!$B$30/1000000</f>
        <v>1042.6805944431842</v>
      </c>
      <c r="E67" s="13">
        <f>UF_Assumptions_1!$B$28*UF_Assumptions_1!$B$30/1000000</f>
        <v>1042.6805944431842</v>
      </c>
      <c r="F67" s="13">
        <f>UF_Assumptions_1!$B$28*UF_Assumptions_1!$B$30/1000000</f>
        <v>1042.6805944431842</v>
      </c>
      <c r="G67" s="13">
        <f>UF_Assumptions_1!$B$28*UF_Assumptions_1!$B$30/1000000</f>
        <v>1042.6805944431842</v>
      </c>
      <c r="H67" s="13">
        <f>UF_Assumptions_1!$B$28*UF_Assumptions_1!$B$30/1000000</f>
        <v>1042.6805944431842</v>
      </c>
      <c r="I67" s="13">
        <f>UF_Assumptions_1!$B$28*UF_Assumptions_1!$B$30/1000000</f>
        <v>1042.6805944431842</v>
      </c>
      <c r="J67" s="13">
        <f>UF_Assumptions_1!$B$28*UF_Assumptions_1!$B$30/1000000</f>
        <v>1042.6805944431842</v>
      </c>
      <c r="K67" s="13">
        <f>UF_Assumptions_1!$B$28*UF_Assumptions_1!$B$30/1000000</f>
        <v>1042.6805944431842</v>
      </c>
    </row>
    <row r="68" spans="1:19" s="6" customFormat="1">
      <c r="A68" s="280" t="s">
        <v>276</v>
      </c>
      <c r="B68" s="281">
        <f>((UF_Calculations_2!B75-UF_Assumptions_1!$B$60)/UF_Assumptions_1!$B$63)+UF_Assumptions_1!$B$61</f>
        <v>3130.1365523053978</v>
      </c>
      <c r="C68" s="281">
        <f>((UF_Calculations_2!C75-UF_Assumptions_1!$B$60)/UF_Assumptions_1!$B$63)+UF_Assumptions_1!$B$61</f>
        <v>3279.6362283564495</v>
      </c>
      <c r="D68" s="281">
        <f>((UF_Calculations_2!D75-UF_Assumptions_1!$B$60)/UF_Assumptions_1!$B$63)+UF_Assumptions_1!$B$61</f>
        <v>3434.6039829273032</v>
      </c>
      <c r="E68" s="281">
        <f>((UF_Calculations_2!E75-UF_Assumptions_1!$B$60)/UF_Assumptions_1!$B$63)+UF_Assumptions_1!$B$61</f>
        <v>3600.6187415688901</v>
      </c>
      <c r="F68" s="281">
        <f>((UF_Calculations_2!F75-UF_Assumptions_1!$B$60)/UF_Assumptions_1!$B$63)+UF_Assumptions_1!$B$61</f>
        <v>3770.3186315695821</v>
      </c>
      <c r="G68" s="281">
        <f>((UF_Calculations_2!G75-UF_Assumptions_1!$B$60)/UF_Assumptions_1!$B$63)+UF_Assumptions_1!$B$61</f>
        <v>3945.8071436321052</v>
      </c>
      <c r="H68" s="281">
        <f>((UF_Calculations_2!H75-UF_Assumptions_1!$B$60)/UF_Assumptions_1!$B$63)+UF_Assumptions_1!$B$61</f>
        <v>4127.0836217664701</v>
      </c>
      <c r="I68" s="281">
        <f>((UF_Calculations_2!I75-UF_Assumptions_1!$B$60)/UF_Assumptions_1!$B$63)+UF_Assumptions_1!$B$61</f>
        <v>4312.84553536367</v>
      </c>
      <c r="J68" s="281">
        <f>((UF_Calculations_2!J75-UF_Assumptions_1!$B$60)/UF_Assumptions_1!$B$63)+UF_Assumptions_1!$B$61</f>
        <v>4503.706257349977</v>
      </c>
      <c r="K68" s="281">
        <f>((UF_Calculations_2!K75-UF_Assumptions_1!$B$60)/UF_Assumptions_1!$B$63)+UF_Assumptions_1!$B$61</f>
        <v>4699.5930427319099</v>
      </c>
    </row>
    <row r="69" spans="1:19">
      <c r="A69" s="8" t="s">
        <v>14</v>
      </c>
      <c r="B69" s="88">
        <f t="shared" ref="B69:K69" si="3">SUM(B54:B68)</f>
        <v>486131.01569574745</v>
      </c>
      <c r="C69" s="88">
        <f t="shared" si="3"/>
        <v>510793.9833024324</v>
      </c>
      <c r="D69" s="88">
        <f t="shared" si="3"/>
        <v>536331.18377838272</v>
      </c>
      <c r="E69" s="88">
        <f t="shared" si="3"/>
        <v>564149.4452165945</v>
      </c>
      <c r="F69" s="88">
        <f t="shared" si="3"/>
        <v>593716.29806368728</v>
      </c>
      <c r="G69" s="88">
        <f t="shared" si="3"/>
        <v>624234.50030509837</v>
      </c>
      <c r="H69" s="88">
        <f t="shared" si="3"/>
        <v>656210.72828869848</v>
      </c>
      <c r="I69" s="88">
        <f t="shared" si="3"/>
        <v>690160.49224409414</v>
      </c>
      <c r="J69" s="88">
        <f t="shared" si="3"/>
        <v>725888.09572235227</v>
      </c>
      <c r="K69" s="88">
        <f t="shared" si="3"/>
        <v>763487.6064782684</v>
      </c>
    </row>
    <row r="70" spans="1:19" s="2" customFormat="1">
      <c r="A70" s="2" t="s">
        <v>219</v>
      </c>
    </row>
    <row r="71" spans="1:19">
      <c r="A71" t="s">
        <v>4</v>
      </c>
      <c r="B71" s="13">
        <f>Baseline!J22*UF_Assumptions_1!B4*UF_Assumptions_1!D4*UF_Assumptions_1!H4*UF_Assumptions_1!C4*UF_Assumptions_1!I4*UF_Assumptions_1!G4*UF_Assumptions_1!F4</f>
        <v>163701.34411711179</v>
      </c>
      <c r="C71" s="13">
        <f>B71*(1+UF_Assumptions_2!B16)</f>
        <v>170904.20325826472</v>
      </c>
      <c r="D71" s="13">
        <f>C71*(1+UF_Assumptions_2!C16)</f>
        <v>178765.79660814491</v>
      </c>
      <c r="E71" s="13">
        <f>D71*(1+UF_Assumptions_2!D16)</f>
        <v>186810.25745551143</v>
      </c>
      <c r="F71" s="13">
        <f>E71*(1+UF_Assumptions_2!E16)</f>
        <v>195029.90878355392</v>
      </c>
      <c r="G71" s="13">
        <f>F71*(1+UF_Assumptions_2!F16)</f>
        <v>203611.2247700303</v>
      </c>
      <c r="H71" s="13">
        <f>G71*(1+UF_Assumptions_2!G16)</f>
        <v>212570.11865991165</v>
      </c>
      <c r="I71" s="13">
        <f>H71*(1+UF_Assumptions_2!H16)</f>
        <v>222135.77399960766</v>
      </c>
      <c r="J71" s="13">
        <f>I71*(1+UF_Assumptions_2!I16)</f>
        <v>232131.88382958999</v>
      </c>
      <c r="K71" s="13">
        <f>J71*(1+UF_Assumptions_2!J16)</f>
        <v>242577.81860192152</v>
      </c>
      <c r="L71" s="88"/>
    </row>
    <row r="72" spans="1:19">
      <c r="A72" t="s">
        <v>5</v>
      </c>
      <c r="B72" s="13">
        <f>Baseline!J23*UF_Assumptions_1!B5*UF_Assumptions_1!D5*UF_Assumptions_1!H5*UF_Assumptions_1!C5*UF_Assumptions_1!I5*UF_Assumptions_1!G5*UF_Assumptions_1!F5</f>
        <v>123004.95380599918</v>
      </c>
      <c r="C72" s="13">
        <f>B72*(1+UF_Assumptions_2!B17)</f>
        <v>128417.17177346314</v>
      </c>
      <c r="D72" s="13">
        <f>C72*(1+UF_Assumptions_2!C17)</f>
        <v>134324.36167504246</v>
      </c>
      <c r="E72" s="13">
        <f>D72*(1+UF_Assumptions_2!D17)</f>
        <v>140368.95795041937</v>
      </c>
      <c r="F72" s="13">
        <f>E72*(1+UF_Assumptions_2!E17)</f>
        <v>146545.19210023782</v>
      </c>
      <c r="G72" s="13">
        <f>F72*(1+UF_Assumptions_2!F17)</f>
        <v>152993.18055264829</v>
      </c>
      <c r="H72" s="13">
        <f>G72*(1+UF_Assumptions_2!G17)</f>
        <v>159724.88049696482</v>
      </c>
      <c r="I72" s="13">
        <f>H72*(1+UF_Assumptions_2!H17)</f>
        <v>166912.50011932824</v>
      </c>
      <c r="J72" s="13">
        <f>I72*(1+UF_Assumptions_2!I17)</f>
        <v>174423.56262469801</v>
      </c>
      <c r="K72" s="13">
        <f>J72*(1+UF_Assumptions_2!J17)</f>
        <v>182272.62294280939</v>
      </c>
      <c r="L72" s="88"/>
    </row>
    <row r="73" spans="1:19">
      <c r="A73" t="s">
        <v>6</v>
      </c>
      <c r="B73" s="13">
        <f>Baseline!J24*UF_Assumptions_1!B6*UF_Assumptions_1!D6*UF_Assumptions_1!H6*UF_Assumptions_1!C6*UF_Assumptions_1!I6*UF_Assumptions_1!G6*UF_Assumptions_1!F6</f>
        <v>14846.36606553379</v>
      </c>
      <c r="C73" s="13">
        <f>B73*(1+UF_Assumptions_2!B18)</f>
        <v>15499.606172417278</v>
      </c>
      <c r="D73" s="13">
        <f>C73*(1+UF_Assumptions_2!C18)</f>
        <v>16212.588056348473</v>
      </c>
      <c r="E73" s="13">
        <f>D73*(1+UF_Assumptions_2!D18)</f>
        <v>16942.154518884152</v>
      </c>
      <c r="F73" s="13">
        <f>E73*(1+UF_Assumptions_2!E18)</f>
        <v>17687.609317715054</v>
      </c>
      <c r="G73" s="13">
        <f>F73*(1+UF_Assumptions_2!F18)</f>
        <v>18465.864127694516</v>
      </c>
      <c r="H73" s="13">
        <f>G73*(1+UF_Assumptions_2!G18)</f>
        <v>19278.362149313074</v>
      </c>
      <c r="I73" s="13">
        <f>H73*(1+UF_Assumptions_2!H18)</f>
        <v>20145.888446032161</v>
      </c>
      <c r="J73" s="13">
        <f>I73*(1+UF_Assumptions_2!I18)</f>
        <v>21052.453426103606</v>
      </c>
      <c r="K73" s="13">
        <f>J73*(1+UF_Assumptions_2!J18)</f>
        <v>21999.813830278268</v>
      </c>
      <c r="L73" s="88"/>
    </row>
    <row r="74" spans="1:19">
      <c r="A74" t="s">
        <v>7</v>
      </c>
      <c r="B74" s="13">
        <f>Baseline!J25*UF_Assumptions_1!B7*UF_Assumptions_1!D7*UF_Assumptions_1!H7*UF_Assumptions_1!C7*UF_Assumptions_1!I7*UF_Assumptions_1!G7*UF_Assumptions_1!F7</f>
        <v>24941.422865988508</v>
      </c>
      <c r="C74" s="13">
        <f>B74*(1+UF_Assumptions_2!B19)</f>
        <v>26038.845472092005</v>
      </c>
      <c r="D74" s="13">
        <f>C74*(1+UF_Assumptions_2!C19)</f>
        <v>27236.632363808239</v>
      </c>
      <c r="E74" s="13">
        <f>D74*(1+UF_Assumptions_2!D19)</f>
        <v>28462.280820179607</v>
      </c>
      <c r="F74" s="13">
        <f>E74*(1+UF_Assumptions_2!E19)</f>
        <v>29714.621176267512</v>
      </c>
      <c r="G74" s="13">
        <f>F74*(1+UF_Assumptions_2!F19)</f>
        <v>31022.064508023283</v>
      </c>
      <c r="H74" s="13">
        <f>G74*(1+UF_Assumptions_2!G19)</f>
        <v>32387.035346376309</v>
      </c>
      <c r="I74" s="13">
        <f>H74*(1+UF_Assumptions_2!H19)</f>
        <v>33844.45193696324</v>
      </c>
      <c r="J74" s="13">
        <f>I74*(1+UF_Assumptions_2!I19)</f>
        <v>35367.452274126583</v>
      </c>
      <c r="K74" s="13">
        <f>J74*(1+UF_Assumptions_2!J19)</f>
        <v>36958.98762646228</v>
      </c>
      <c r="L74" s="13"/>
      <c r="M74" s="13"/>
      <c r="N74" s="13"/>
      <c r="O74" s="13"/>
      <c r="P74" s="13"/>
      <c r="Q74" s="13"/>
      <c r="R74" s="13"/>
      <c r="S74" s="13"/>
    </row>
    <row r="75" spans="1:19">
      <c r="A75" t="s">
        <v>8</v>
      </c>
      <c r="B75" s="13">
        <f>Baseline!J26*UF_Assumptions_1!B8*UF_Assumptions_1!D8*UF_Assumptions_1!H8*UF_Assumptions_1!C8*UF_Assumptions_1!I8*UF_Assumptions_1!G8*UF_Assumptions_1!F8</f>
        <v>27504.113438370092</v>
      </c>
      <c r="C75" s="13">
        <f>B75*(1+UF_Assumptions_2!B20)</f>
        <v>28714.294429658377</v>
      </c>
      <c r="D75" s="13">
        <f>C75*(1+UF_Assumptions_2!C20)</f>
        <v>30035.151973422664</v>
      </c>
      <c r="E75" s="13">
        <f>D75*(1+UF_Assumptions_2!D20)</f>
        <v>31386.733812226681</v>
      </c>
      <c r="F75" s="13">
        <f>E75*(1+UF_Assumptions_2!E20)</f>
        <v>32767.750099964655</v>
      </c>
      <c r="G75" s="13">
        <f>F75*(1+UF_Assumptions_2!F20)</f>
        <v>34209.531104363101</v>
      </c>
      <c r="H75" s="13">
        <f>G75*(1+UF_Assumptions_2!G20)</f>
        <v>35714.750472955078</v>
      </c>
      <c r="I75" s="13">
        <f>H75*(1+UF_Assumptions_2!H20)</f>
        <v>37321.914244238054</v>
      </c>
      <c r="J75" s="13">
        <f>I75*(1+UF_Assumptions_2!I20)</f>
        <v>39001.400385228764</v>
      </c>
      <c r="K75" s="13">
        <f>J75*(1+UF_Assumptions_2!J20)</f>
        <v>40756.463402564055</v>
      </c>
      <c r="L75" s="88"/>
    </row>
    <row r="76" spans="1:19">
      <c r="A76" t="s">
        <v>9</v>
      </c>
      <c r="B76" s="13">
        <f>Baseline!J27*UF_Assumptions_1!B9*UF_Assumptions_1!D9*UF_Assumptions_1!H9*UF_Assumptions_1!C9*UF_Assumptions_1!I9*UF_Assumptions_1!G9*UF_Assumptions_1!F9</f>
        <v>20867.90919503873</v>
      </c>
      <c r="C76" s="13">
        <f>B76*(1+UF_Assumptions_2!B21)</f>
        <v>21786.097199620435</v>
      </c>
      <c r="D76" s="13">
        <f>C76*(1+UF_Assumptions_2!C21)</f>
        <v>22788.257670802977</v>
      </c>
      <c r="E76" s="13">
        <f>D76*(1+UF_Assumptions_2!D21)</f>
        <v>23813.72926598911</v>
      </c>
      <c r="F76" s="13">
        <f>E76*(1+UF_Assumptions_2!E21)</f>
        <v>24861.53335369263</v>
      </c>
      <c r="G76" s="13">
        <f>F76*(1+UF_Assumptions_2!F21)</f>
        <v>25955.440821255106</v>
      </c>
      <c r="H76" s="13">
        <f>G76*(1+UF_Assumptions_2!G21)</f>
        <v>27097.480217390334</v>
      </c>
      <c r="I76" s="13">
        <f>H76*(1+UF_Assumptions_2!H21)</f>
        <v>28316.866827172897</v>
      </c>
      <c r="J76" s="13">
        <f>I76*(1+UF_Assumptions_2!I21)</f>
        <v>29591.125834395676</v>
      </c>
      <c r="K76" s="13">
        <f>J76*(1+UF_Assumptions_2!J21)</f>
        <v>30922.72649694348</v>
      </c>
      <c r="L76" s="88"/>
    </row>
    <row r="77" spans="1:19">
      <c r="A77" t="s">
        <v>10</v>
      </c>
      <c r="B77" s="13">
        <f>Baseline!J28*UF_Assumptions_1!B10*UF_Assumptions_1!D10*UF_Assumptions_1!H10*UF_Assumptions_1!C10*UF_Assumptions_1!I10*UF_Assumptions_1!G10*UF_Assumptions_1!F10</f>
        <v>17757.579038677741</v>
      </c>
      <c r="C77" s="13">
        <f>B77*(1+UF_Assumptions_2!B22)</f>
        <v>18538.912516379562</v>
      </c>
      <c r="D77" s="13">
        <f>C77*(1+UF_Assumptions_2!C22)</f>
        <v>19391.702492133023</v>
      </c>
      <c r="E77" s="13">
        <f>D77*(1+UF_Assumptions_2!D22)</f>
        <v>20264.329104279008</v>
      </c>
      <c r="F77" s="13">
        <f>E77*(1+UF_Assumptions_2!E22)</f>
        <v>21155.959584867283</v>
      </c>
      <c r="G77" s="13">
        <f>F77*(1+UF_Assumptions_2!F22)</f>
        <v>22086.821806601445</v>
      </c>
      <c r="H77" s="13">
        <f>G77*(1+UF_Assumptions_2!G22)</f>
        <v>23058.641966091909</v>
      </c>
      <c r="I77" s="13">
        <f>H77*(1+UF_Assumptions_2!H22)</f>
        <v>24096.280854566045</v>
      </c>
      <c r="J77" s="13">
        <f>I77*(1+UF_Assumptions_2!I22)</f>
        <v>25180.613493021516</v>
      </c>
      <c r="K77" s="13">
        <f>J77*(1+UF_Assumptions_2!J22)</f>
        <v>26313.74110020748</v>
      </c>
      <c r="L77" s="88"/>
    </row>
    <row r="78" spans="1:19">
      <c r="A78" t="s">
        <v>18</v>
      </c>
      <c r="B78" s="13">
        <f>Baseline!J29*UF_Assumptions_1!B11*UF_Assumptions_1!D11*UF_Assumptions_1!H11*UF_Assumptions_1!C11*UF_Assumptions_1!I11*UF_Assumptions_1!G11*UF_Assumptions_1!F11</f>
        <v>30129.715383992829</v>
      </c>
      <c r="C78" s="13">
        <f>B78*(1+UF_Assumptions_2!B23)</f>
        <v>31455.422860888513</v>
      </c>
      <c r="D78" s="13">
        <f>C78*(1+UF_Assumptions_2!C23)</f>
        <v>32902.372312489388</v>
      </c>
      <c r="E78" s="13">
        <f>D78*(1+UF_Assumptions_2!D23)</f>
        <v>34382.979066551408</v>
      </c>
      <c r="F78" s="13">
        <f>E78*(1+UF_Assumptions_2!E23)</f>
        <v>35895.830145479675</v>
      </c>
      <c r="G78" s="13">
        <f>F78*(1+UF_Assumptions_2!F23)</f>
        <v>37475.246671880785</v>
      </c>
      <c r="H78" s="13">
        <f>G78*(1+UF_Assumptions_2!G23)</f>
        <v>39124.157525443537</v>
      </c>
      <c r="I78" s="13">
        <f>H78*(1+UF_Assumptions_2!H23)</f>
        <v>40884.744614088493</v>
      </c>
      <c r="J78" s="13">
        <f>I78*(1+UF_Assumptions_2!I23)</f>
        <v>42724.558121722475</v>
      </c>
      <c r="K78" s="13">
        <f>J78*(1+UF_Assumptions_2!J23)</f>
        <v>44647.16323719998</v>
      </c>
      <c r="L78" s="88"/>
    </row>
    <row r="79" spans="1:19">
      <c r="A79" t="s">
        <v>16</v>
      </c>
      <c r="B79" s="13">
        <f>Baseline!J30*UF_Assumptions_1!B12*UF_Assumptions_1!D12*UF_Assumptions_1!H12*UF_Assumptions_1!C12*UF_Assumptions_1!I12*UF_Assumptions_1!G12*UF_Assumptions_1!F12</f>
        <v>9782.1964709051808</v>
      </c>
      <c r="C79" s="13">
        <f>B79*(1+UF_Assumptions_2!B24)</f>
        <v>10212.613115625009</v>
      </c>
      <c r="D79" s="13">
        <f>C79*(1+UF_Assumptions_2!C24)</f>
        <v>10682.393318943759</v>
      </c>
      <c r="E79" s="13">
        <f>D79*(1+UF_Assumptions_2!D24)</f>
        <v>11163.101018296227</v>
      </c>
      <c r="F79" s="13">
        <f>E79*(1+UF_Assumptions_2!E24)</f>
        <v>11654.277463101262</v>
      </c>
      <c r="G79" s="13">
        <f>F79*(1+UF_Assumptions_2!F24)</f>
        <v>12167.065671477718</v>
      </c>
      <c r="H79" s="13">
        <f>G79*(1+UF_Assumptions_2!G24)</f>
        <v>12702.416561022737</v>
      </c>
      <c r="I79" s="13">
        <f>H79*(1+UF_Assumptions_2!H24)</f>
        <v>13274.025306268759</v>
      </c>
      <c r="J79" s="13">
        <f>I79*(1+UF_Assumptions_2!I24)</f>
        <v>13871.356445050853</v>
      </c>
      <c r="K79" s="13">
        <f>J79*(1+UF_Assumptions_2!J24)</f>
        <v>14495.56748507814</v>
      </c>
      <c r="L79" s="88"/>
    </row>
    <row r="80" spans="1:19">
      <c r="A80" t="s">
        <v>11</v>
      </c>
      <c r="B80" s="13">
        <f>Baseline!J31*UF_Assumptions_1!B13*UF_Assumptions_1!D13*UF_Assumptions_1!H13*UF_Assumptions_1!C13*UF_Assumptions_1!I13*UF_Assumptions_1!G13*UF_Assumptions_1!F13</f>
        <v>6255.1260573301888</v>
      </c>
      <c r="C80" s="13">
        <f>B80*(1+UF_Assumptions_2!B25)</f>
        <v>6530.3516038527177</v>
      </c>
      <c r="D80" s="13">
        <f>C80*(1+UF_Assumptions_2!C25)</f>
        <v>6830.7477776299429</v>
      </c>
      <c r="E80" s="13">
        <f>D80*(1+UF_Assumptions_2!D25)</f>
        <v>7138.1314276232897</v>
      </c>
      <c r="F80" s="13">
        <f>E80*(1+UF_Assumptions_2!E25)</f>
        <v>7452.2092104387148</v>
      </c>
      <c r="G80" s="13">
        <f>F80*(1+UF_Assumptions_2!F25)</f>
        <v>7780.1064156980183</v>
      </c>
      <c r="H80" s="13">
        <f>G80*(1+UF_Assumptions_2!G25)</f>
        <v>8122.4310979887314</v>
      </c>
      <c r="I80" s="13">
        <f>H80*(1+UF_Assumptions_2!H25)</f>
        <v>8487.9404973982237</v>
      </c>
      <c r="J80" s="13">
        <f>I80*(1+UF_Assumptions_2!I25)</f>
        <v>8869.897819781143</v>
      </c>
      <c r="K80" s="13">
        <f>J80*(1+UF_Assumptions_2!J25)</f>
        <v>9269.0432216712943</v>
      </c>
      <c r="L80" s="88"/>
    </row>
    <row r="81" spans="1:12">
      <c r="A81" t="s">
        <v>13</v>
      </c>
      <c r="B81" s="13">
        <f>Baseline!J$35</f>
        <v>13015.934321462773</v>
      </c>
      <c r="C81" s="13">
        <f>Baseline!K$35</f>
        <v>13476.024721270978</v>
      </c>
      <c r="D81" s="13">
        <f>Baseline!L$35</f>
        <v>13923.220163679234</v>
      </c>
      <c r="E81" s="13">
        <f>Baseline!M$35</f>
        <v>14458.753862211928</v>
      </c>
      <c r="F81" s="13">
        <f>Baseline!N$35</f>
        <v>15047.036138730071</v>
      </c>
      <c r="G81" s="13">
        <f>Baseline!O$35</f>
        <v>15608.734786912868</v>
      </c>
      <c r="H81" s="13">
        <f>Baseline!P$35</f>
        <v>16159.948137089295</v>
      </c>
      <c r="I81" s="13">
        <f>Baseline!Q$35</f>
        <v>16766.700865673727</v>
      </c>
      <c r="J81" s="13">
        <f>Baseline!R$35</f>
        <v>17396.231249972214</v>
      </c>
      <c r="K81" s="13">
        <f>Baseline!S$35</f>
        <v>18049.393987394586</v>
      </c>
      <c r="L81" s="88"/>
    </row>
    <row r="82" spans="1:12">
      <c r="A82" s="6" t="s">
        <v>71</v>
      </c>
      <c r="B82" s="13">
        <f>Baseline!J36</f>
        <v>28791.565066927964</v>
      </c>
      <c r="C82" s="13">
        <f>B82*(1+UF_Assumptions_2!B27)</f>
        <v>30058.393929872796</v>
      </c>
      <c r="D82" s="13">
        <f>C82*(1+UF_Assumptions_2!C27)</f>
        <v>31441.080050646946</v>
      </c>
      <c r="E82" s="13">
        <f>D82*(1+UF_Assumptions_2!D27)</f>
        <v>32855.928652926057</v>
      </c>
      <c r="F82" s="13">
        <f>E82*(1+UF_Assumptions_2!E27)</f>
        <v>34301.589513654806</v>
      </c>
      <c r="G82" s="13">
        <f>F82*(1+UF_Assumptions_2!F27)</f>
        <v>35810.859452255616</v>
      </c>
      <c r="H82" s="13">
        <f>G82*(1+UF_Assumptions_2!G27)</f>
        <v>37386.537268154862</v>
      </c>
      <c r="I82" s="13">
        <f>H82*(1+UF_Assumptions_2!H27)</f>
        <v>39068.931445221824</v>
      </c>
      <c r="J82" s="13">
        <f>I82*(1+UF_Assumptions_2!I27)</f>
        <v>40827.033360256806</v>
      </c>
      <c r="K82" s="13">
        <f>J82*(1+UF_Assumptions_2!J27)</f>
        <v>42664.249861468357</v>
      </c>
    </row>
    <row r="83" spans="1:12">
      <c r="A83" s="6" t="s">
        <v>166</v>
      </c>
      <c r="B83" s="13">
        <f>SUM(B71:B80)*(UF_Assumptions_1!B$18/(1-UF_Assumptions_1!B$18))</f>
        <v>13570.847209451998</v>
      </c>
      <c r="C83" s="13">
        <f>SUM(C71:C80)*(UF_Assumptions_1!C$18/(1-UF_Assumptions_1!C$18))</f>
        <v>14167.964486667888</v>
      </c>
      <c r="D83" s="13">
        <f>SUM(D71:D80)*(UF_Assumptions_1!D$18/(1-UF_Assumptions_1!D$18))</f>
        <v>14819.690853054613</v>
      </c>
      <c r="E83" s="13">
        <f>SUM(E71:E80)*(UF_Assumptions_1!E$18/(1-UF_Assumptions_1!E$18))</f>
        <v>15486.576941442068</v>
      </c>
      <c r="F83" s="13">
        <f>SUM(F71:F80)*(UF_Assumptions_1!F$18/(1-UF_Assumptions_1!F$18))</f>
        <v>16167.986326865521</v>
      </c>
      <c r="G83" s="13">
        <f>SUM(G71:G80)*(UF_Assumptions_1!G$18/(1-UF_Assumptions_1!G$18))</f>
        <v>16879.377725247607</v>
      </c>
      <c r="H83" s="13">
        <f>SUM(H71:H80)*(UF_Assumptions_1!H$18/(1-UF_Assumptions_1!H$18))</f>
        <v>17622.070345158503</v>
      </c>
      <c r="I83" s="13">
        <f>SUM(I71:I80)*(UF_Assumptions_1!I$18/(1-UF_Assumptions_1!I$18))</f>
        <v>18415.063510690634</v>
      </c>
      <c r="J83" s="13">
        <f>SUM(J71:J80)*(UF_Assumptions_1!J$18/(1-UF_Assumptions_1!J$18))</f>
        <v>19243.741368671701</v>
      </c>
      <c r="K83" s="13">
        <f>SUM(K71:K80)*(UF_Assumptions_1!K$18/(1-UF_Assumptions_1!K$18))</f>
        <v>20109.709730261937</v>
      </c>
      <c r="L83" s="56">
        <f>B83/((SUM(B71:B80)+B83))</f>
        <v>0.03</v>
      </c>
    </row>
    <row r="84" spans="1:12">
      <c r="A84" s="212" t="s">
        <v>218</v>
      </c>
      <c r="B84" s="13">
        <f>UF_Assumptions_1!$B$28/1000000</f>
        <v>2085.3611888863684</v>
      </c>
      <c r="C84" s="13">
        <f>UF_Assumptions_1!$B$28/1000000</f>
        <v>2085.3611888863684</v>
      </c>
      <c r="D84" s="13">
        <f>UF_Assumptions_1!$B$28/1000000</f>
        <v>2085.3611888863684</v>
      </c>
      <c r="E84" s="13">
        <f>UF_Assumptions_1!$B$28/1000000</f>
        <v>2085.3611888863684</v>
      </c>
      <c r="F84" s="13">
        <f>UF_Assumptions_1!$B$28/1000000</f>
        <v>2085.3611888863684</v>
      </c>
      <c r="G84" s="13">
        <f>UF_Assumptions_1!$B$28/1000000</f>
        <v>2085.3611888863684</v>
      </c>
      <c r="H84" s="13">
        <f>UF_Assumptions_1!$B$28/1000000</f>
        <v>2085.3611888863684</v>
      </c>
      <c r="I84" s="13">
        <f>UF_Assumptions_1!$B$28/1000000</f>
        <v>2085.3611888863684</v>
      </c>
      <c r="J84" s="13">
        <f>UF_Assumptions_1!$B$28/1000000</f>
        <v>2085.3611888863684</v>
      </c>
      <c r="K84" s="13">
        <f>UF_Assumptions_1!$B$28/1000000</f>
        <v>2085.3611888863684</v>
      </c>
      <c r="L84" s="88"/>
    </row>
    <row r="85" spans="1:12">
      <c r="A85" s="211" t="s">
        <v>276</v>
      </c>
      <c r="B85" s="13">
        <f>((UF_Calculations_2!B26-UF_Assumptions_1!$B$60)/UF_Assumptions_1!$B$63)+UF_Assumptions_1!$B$61</f>
        <v>4902.4848588157956</v>
      </c>
      <c r="C85" s="13">
        <f>((UF_Calculations_2!C26-UF_Assumptions_1!$B$60)/UF_Assumptions_1!$B$63)+UF_Assumptions_1!$B$61</f>
        <v>5056.5031020109163</v>
      </c>
      <c r="D85" s="13">
        <f>((UF_Calculations_2!D26-UF_Assumptions_1!$B$60)/UF_Assumptions_1!$B$63)+UF_Assumptions_1!$B$61</f>
        <v>5237.5277322001775</v>
      </c>
      <c r="E85" s="13">
        <f>((UF_Calculations_2!E26-UF_Assumptions_1!$B$60)/UF_Assumptions_1!$B$63)+UF_Assumptions_1!$B$61</f>
        <v>5402.8845765640835</v>
      </c>
      <c r="F85" s="13">
        <f>((UF_Calculations_2!F26-UF_Assumptions_1!$B$60)/UF_Assumptions_1!$B$63)+UF_Assumptions_1!$B$61</f>
        <v>5551.0105579917099</v>
      </c>
      <c r="G85" s="13">
        <f>((UF_Calculations_2!G26-UF_Assumptions_1!$B$60)/UF_Assumptions_1!$B$63)+UF_Assumptions_1!$B$61</f>
        <v>5709.5714178587596</v>
      </c>
      <c r="H85" s="13">
        <f>((UF_Calculations_2!H26-UF_Assumptions_1!$B$60)/UF_Assumptions_1!$B$63)+UF_Assumptions_1!$B$61</f>
        <v>5869.2769004804823</v>
      </c>
      <c r="I85" s="13">
        <f>((UF_Calculations_2!I26-UF_Assumptions_1!$B$60)/UF_Assumptions_1!$B$63)+UF_Assumptions_1!$B$61</f>
        <v>6032.4974898195842</v>
      </c>
      <c r="J85" s="13">
        <f>((UF_Calculations_2!J26-UF_Assumptions_1!$B$60)/UF_Assumptions_1!$B$63)+UF_Assumptions_1!$B$61</f>
        <v>6193.5803636553173</v>
      </c>
      <c r="K85" s="13">
        <f>((UF_Calculations_2!K26-UF_Assumptions_1!$B$60)/UF_Assumptions_1!$B$63)+UF_Assumptions_1!$B$61</f>
        <v>6351.7364828735981</v>
      </c>
      <c r="L85" s="88"/>
    </row>
    <row r="86" spans="1:12">
      <c r="A86" s="8" t="s">
        <v>14</v>
      </c>
      <c r="B86" s="88">
        <f t="shared" ref="B86:K86" si="4">SUM(B71:B85)</f>
        <v>501156.9190844929</v>
      </c>
      <c r="C86" s="88">
        <f t="shared" si="4"/>
        <v>522941.76583097066</v>
      </c>
      <c r="D86" s="88">
        <f t="shared" si="4"/>
        <v>546676.8842372332</v>
      </c>
      <c r="E86" s="88">
        <f t="shared" si="4"/>
        <v>571022.15966199071</v>
      </c>
      <c r="F86" s="88">
        <f t="shared" si="4"/>
        <v>595917.87496144697</v>
      </c>
      <c r="G86" s="88">
        <f t="shared" si="4"/>
        <v>621860.4510208338</v>
      </c>
      <c r="H86" s="88">
        <f t="shared" si="4"/>
        <v>648903.46833322768</v>
      </c>
      <c r="I86" s="88">
        <f t="shared" si="4"/>
        <v>677788.94134595583</v>
      </c>
      <c r="J86" s="88">
        <f t="shared" si="4"/>
        <v>707960.25178516074</v>
      </c>
      <c r="K86" s="88">
        <f t="shared" si="4"/>
        <v>739474.39919602068</v>
      </c>
      <c r="L86" s="88"/>
    </row>
    <row r="87" spans="1:12" s="2" customFormat="1">
      <c r="A87" s="2" t="s">
        <v>220</v>
      </c>
    </row>
    <row r="88" spans="1:12">
      <c r="A88" t="s">
        <v>4</v>
      </c>
      <c r="B88" s="13">
        <f>Baseline!J22*UF_Assumptions_1!B4*UF_Assumptions_1!D4*UF_Assumptions_1!C4*UF_Assumptions_1!J4*UF_Assumptions_1!G4*UF_Assumptions_1!F4</f>
        <v>162453.2654677745</v>
      </c>
      <c r="C88" s="13">
        <f>B88*(1+UF_Assumptions_2!B16)</f>
        <v>169601.20914835657</v>
      </c>
      <c r="D88" s="13">
        <f>C88*(1+UF_Assumptions_2!C16)</f>
        <v>177402.86476918097</v>
      </c>
      <c r="E88" s="13">
        <f>D88*(1+UF_Assumptions_2!D16)</f>
        <v>185385.99368379411</v>
      </c>
      <c r="F88" s="13">
        <f>E88*(1+UF_Assumptions_2!E16)</f>
        <v>193542.97740588104</v>
      </c>
      <c r="G88" s="13">
        <f>F88*(1+UF_Assumptions_2!F16)</f>
        <v>202058.86841173982</v>
      </c>
      <c r="H88" s="13">
        <f>G88*(1+UF_Assumptions_2!G16)</f>
        <v>210949.45862185638</v>
      </c>
      <c r="I88" s="13">
        <f>H88*(1+UF_Assumptions_2!H16)</f>
        <v>220442.18425983991</v>
      </c>
      <c r="J88" s="13">
        <f>I88*(1+UF_Assumptions_2!I16)</f>
        <v>230362.08255153269</v>
      </c>
      <c r="K88" s="13">
        <f>J88*(1+UF_Assumptions_2!J16)</f>
        <v>240728.37626635164</v>
      </c>
      <c r="L88" s="13"/>
    </row>
    <row r="89" spans="1:12">
      <c r="A89" t="s">
        <v>5</v>
      </c>
      <c r="B89" s="13">
        <f>Baseline!J23*UF_Assumptions_1!B5*UF_Assumptions_1!D5*UF_Assumptions_1!C5*UF_Assumptions_1!J5*UF_Assumptions_1!G5*UF_Assumptions_1!F5</f>
        <v>119740.67145279271</v>
      </c>
      <c r="C89" s="13">
        <f>B89*(1+UF_Assumptions_2!B17)</f>
        <v>125009.26099671559</v>
      </c>
      <c r="D89" s="13">
        <f>C89*(1+UF_Assumptions_2!C17)</f>
        <v>130759.6870025645</v>
      </c>
      <c r="E89" s="13">
        <f>D89*(1+UF_Assumptions_2!D17)</f>
        <v>136643.8729176799</v>
      </c>
      <c r="F89" s="13">
        <f>E89*(1+UF_Assumptions_2!E17)</f>
        <v>142656.20332605782</v>
      </c>
      <c r="G89" s="13">
        <f>F89*(1+UF_Assumptions_2!F17)</f>
        <v>148933.07627240437</v>
      </c>
      <c r="H89" s="13">
        <f>G89*(1+UF_Assumptions_2!G17)</f>
        <v>155486.13162839017</v>
      </c>
      <c r="I89" s="13">
        <f>H89*(1+UF_Assumptions_2!H17)</f>
        <v>162483.00755166772</v>
      </c>
      <c r="J89" s="13">
        <f>I89*(1+UF_Assumptions_2!I17)</f>
        <v>169794.74289149276</v>
      </c>
      <c r="K89" s="13">
        <f>J89*(1+UF_Assumptions_2!J17)</f>
        <v>177435.50632160992</v>
      </c>
      <c r="L89" s="13"/>
    </row>
    <row r="90" spans="1:12">
      <c r="A90" t="s">
        <v>6</v>
      </c>
      <c r="B90" s="13">
        <f>Baseline!J24*UF_Assumptions_1!B6*UF_Assumptions_1!D6*UF_Assumptions_1!C6*UF_Assumptions_1!J6*UF_Assumptions_1!G6*UF_Assumptions_1!F6</f>
        <v>14324.075326181735</v>
      </c>
      <c r="C90" s="13">
        <f>B90*(1+UF_Assumptions_2!B18)</f>
        <v>14954.334640533732</v>
      </c>
      <c r="D90" s="13">
        <f>C90*(1+UF_Assumptions_2!C18)</f>
        <v>15642.234033998284</v>
      </c>
      <c r="E90" s="13">
        <f>D90*(1+UF_Assumptions_2!D18)</f>
        <v>16346.134565528206</v>
      </c>
      <c r="F90" s="13">
        <f>E90*(1+UF_Assumptions_2!E18)</f>
        <v>17065.364486411447</v>
      </c>
      <c r="G90" s="13">
        <f>F90*(1+UF_Assumptions_2!F18)</f>
        <v>17816.240523813551</v>
      </c>
      <c r="H90" s="13">
        <f>G90*(1+UF_Assumptions_2!G18)</f>
        <v>18600.155106861348</v>
      </c>
      <c r="I90" s="13">
        <f>H90*(1+UF_Assumptions_2!H18)</f>
        <v>19437.162086670109</v>
      </c>
      <c r="J90" s="13">
        <f>I90*(1+UF_Assumptions_2!I18)</f>
        <v>20311.834380570261</v>
      </c>
      <c r="K90" s="13">
        <f>J90*(1+UF_Assumptions_2!J18)</f>
        <v>21225.866927695923</v>
      </c>
      <c r="L90" s="13"/>
    </row>
    <row r="91" spans="1:12">
      <c r="A91" t="s">
        <v>7</v>
      </c>
      <c r="B91" s="13">
        <f>Baseline!J25*UF_Assumptions_1!B7*UF_Assumptions_1!D7*UF_Assumptions_1!C7*UF_Assumptions_1!J7*UF_Assumptions_1!G7*UF_Assumptions_1!F7</f>
        <v>24063.991033062659</v>
      </c>
      <c r="C91" s="13">
        <f>B91*(1+UF_Assumptions_2!B19)</f>
        <v>25122.806638517417</v>
      </c>
      <c r="D91" s="13">
        <f>C91*(1+UF_Assumptions_2!C19)</f>
        <v>26278.455743889219</v>
      </c>
      <c r="E91" s="13">
        <f>D91*(1+UF_Assumptions_2!D19)</f>
        <v>27460.986252364233</v>
      </c>
      <c r="F91" s="13">
        <f>E91*(1+UF_Assumptions_2!E19)</f>
        <v>28669.26964746826</v>
      </c>
      <c r="G91" s="13">
        <f>F91*(1+UF_Assumptions_2!F19)</f>
        <v>29930.717511956864</v>
      </c>
      <c r="H91" s="13">
        <f>G91*(1+UF_Assumptions_2!G19)</f>
        <v>31247.669082482967</v>
      </c>
      <c r="I91" s="13">
        <f>H91*(1+UF_Assumptions_2!H19)</f>
        <v>32653.814191194699</v>
      </c>
      <c r="J91" s="13">
        <f>I91*(1+UF_Assumptions_2!I19)</f>
        <v>34123.235829798461</v>
      </c>
      <c r="K91" s="13">
        <f>J91*(1+UF_Assumptions_2!J19)</f>
        <v>35658.781442139392</v>
      </c>
      <c r="L91" s="13"/>
    </row>
    <row r="92" spans="1:12">
      <c r="A92" t="s">
        <v>8</v>
      </c>
      <c r="B92" s="13">
        <f>Baseline!J26*UF_Assumptions_1!B8*UF_Assumptions_1!D8*UF_Assumptions_1!C8*UF_Assumptions_1!J8*UF_Assumptions_1!G8*UF_Assumptions_1!F8</f>
        <v>28096.874696395342</v>
      </c>
      <c r="C92" s="13">
        <f>B92*(1+UF_Assumptions_2!B20)</f>
        <v>29333.137183036739</v>
      </c>
      <c r="D92" s="13">
        <f>C92*(1+UF_Assumptions_2!C20)</f>
        <v>30682.461493456431</v>
      </c>
      <c r="E92" s="13">
        <f>D92*(1+UF_Assumptions_2!D20)</f>
        <v>32063.17226066197</v>
      </c>
      <c r="F92" s="13">
        <f>E92*(1+UF_Assumptions_2!E20)</f>
        <v>33473.9518401311</v>
      </c>
      <c r="G92" s="13">
        <f>F92*(1+UF_Assumptions_2!F20)</f>
        <v>34946.805721096869</v>
      </c>
      <c r="H92" s="13">
        <f>G92*(1+UF_Assumptions_2!G20)</f>
        <v>36484.465172825134</v>
      </c>
      <c r="I92" s="13">
        <f>H92*(1+UF_Assumptions_2!H20)</f>
        <v>38126.266105602263</v>
      </c>
      <c r="J92" s="13">
        <f>I92*(1+UF_Assumptions_2!I20)</f>
        <v>39841.948080354363</v>
      </c>
      <c r="K92" s="13">
        <f>J92*(1+UF_Assumptions_2!J20)</f>
        <v>41634.835743970303</v>
      </c>
      <c r="L92" s="13"/>
    </row>
    <row r="93" spans="1:12">
      <c r="A93" t="s">
        <v>9</v>
      </c>
      <c r="B93" s="13">
        <f>Baseline!J27*UF_Assumptions_1!B9*UF_Assumptions_1!D9*UF_Assumptions_1!C9*UF_Assumptions_1!J9*UF_Assumptions_1!G9*UF_Assumptions_1!F9</f>
        <v>20133.782360626981</v>
      </c>
      <c r="C93" s="13">
        <f>B93*(1+UF_Assumptions_2!B21)</f>
        <v>21019.66878449457</v>
      </c>
      <c r="D93" s="13">
        <f>C93*(1+UF_Assumptions_2!C21)</f>
        <v>21986.57354858132</v>
      </c>
      <c r="E93" s="13">
        <f>D93*(1+UF_Assumptions_2!D21)</f>
        <v>22975.969358267477</v>
      </c>
      <c r="F93" s="13">
        <f>E93*(1+UF_Assumptions_2!E21)</f>
        <v>23986.912010031247</v>
      </c>
      <c r="G93" s="13">
        <f>F93*(1+UF_Assumptions_2!F21)</f>
        <v>25042.336138472623</v>
      </c>
      <c r="H93" s="13">
        <f>G93*(1+UF_Assumptions_2!G21)</f>
        <v>26144.19892856542</v>
      </c>
      <c r="I93" s="13">
        <f>H93*(1+UF_Assumptions_2!H21)</f>
        <v>27320.687880350863</v>
      </c>
      <c r="J93" s="13">
        <f>I93*(1+UF_Assumptions_2!I21)</f>
        <v>28550.118834966648</v>
      </c>
      <c r="K93" s="13">
        <f>J93*(1+UF_Assumptions_2!J21)</f>
        <v>29834.874182540145</v>
      </c>
      <c r="L93" s="13"/>
    </row>
    <row r="94" spans="1:12">
      <c r="A94" t="s">
        <v>10</v>
      </c>
      <c r="B94" s="13">
        <f>Baseline!J28*UF_Assumptions_1!B10*UF_Assumptions_1!D10*UF_Assumptions_1!C10*UF_Assumptions_1!J10*UF_Assumptions_1!G10*UF_Assumptions_1!F10</f>
        <v>18140.285607789145</v>
      </c>
      <c r="C94" s="13">
        <f>B94*(1+UF_Assumptions_2!B22)</f>
        <v>18938.458174531868</v>
      </c>
      <c r="D94" s="13">
        <f>C94*(1+UF_Assumptions_2!C22)</f>
        <v>19809.627250560334</v>
      </c>
      <c r="E94" s="13">
        <f>D94*(1+UF_Assumptions_2!D22)</f>
        <v>20701.060476835548</v>
      </c>
      <c r="F94" s="13">
        <f>E94*(1+UF_Assumptions_2!E22)</f>
        <v>21611.907137816313</v>
      </c>
      <c r="G94" s="13">
        <f>F94*(1+UF_Assumptions_2!F22)</f>
        <v>22562.831051880232</v>
      </c>
      <c r="H94" s="13">
        <f>G94*(1+UF_Assumptions_2!G22)</f>
        <v>23555.595618162963</v>
      </c>
      <c r="I94" s="13">
        <f>H94*(1+UF_Assumptions_2!H22)</f>
        <v>24615.597420980295</v>
      </c>
      <c r="J94" s="13">
        <f>I94*(1+UF_Assumptions_2!I22)</f>
        <v>25723.299304924407</v>
      </c>
      <c r="K94" s="13">
        <f>J94*(1+UF_Assumptions_2!J22)</f>
        <v>26880.847773646004</v>
      </c>
      <c r="L94" s="13"/>
    </row>
    <row r="95" spans="1:12">
      <c r="A95" t="s">
        <v>18</v>
      </c>
      <c r="B95" s="13">
        <f>Baseline!J29*UF_Assumptions_1!B11*UF_Assumptions_1!D11*UF_Assumptions_1!C11*UF_Assumptions_1!J11*UF_Assumptions_1!G11*UF_Assumptions_1!F11</f>
        <v>28600.194242264795</v>
      </c>
      <c r="C95" s="13">
        <f>B95*(1+UF_Assumptions_2!B23)</f>
        <v>29858.602788924447</v>
      </c>
      <c r="D95" s="13">
        <f>C95*(1+UF_Assumptions_2!C23)</f>
        <v>31232.098517214974</v>
      </c>
      <c r="E95" s="13">
        <f>D95*(1+UF_Assumptions_2!D23)</f>
        <v>32637.542950489646</v>
      </c>
      <c r="F95" s="13">
        <f>E95*(1+UF_Assumptions_2!E23)</f>
        <v>34073.594840311191</v>
      </c>
      <c r="G95" s="13">
        <f>F95*(1+UF_Assumptions_2!F23)</f>
        <v>35572.833013284886</v>
      </c>
      <c r="H95" s="13">
        <f>G95*(1+UF_Assumptions_2!G23)</f>
        <v>37138.037665869422</v>
      </c>
      <c r="I95" s="13">
        <f>H95*(1+UF_Assumptions_2!H23)</f>
        <v>38809.249360833543</v>
      </c>
      <c r="J95" s="13">
        <f>I95*(1+UF_Assumptions_2!I23)</f>
        <v>40555.665582071051</v>
      </c>
      <c r="K95" s="13">
        <f>J95*(1+UF_Assumptions_2!J23)</f>
        <v>42380.670533264245</v>
      </c>
      <c r="L95" s="13"/>
    </row>
    <row r="96" spans="1:12">
      <c r="A96" t="s">
        <v>16</v>
      </c>
      <c r="B96" s="13">
        <f>Baseline!J30*UF_Assumptions_1!B12*UF_Assumptions_1!D12*UF_Assumptions_1!C12*UF_Assumptions_1!J12*UF_Assumptions_1!G12*UF_Assumptions_1!F12</f>
        <v>9438.0617106060163</v>
      </c>
      <c r="C96" s="13">
        <f>B96*(1+UF_Assumptions_2!B24)</f>
        <v>9853.3364258726815</v>
      </c>
      <c r="D96" s="13">
        <f>C96*(1+UF_Assumptions_2!C24)</f>
        <v>10306.589901462825</v>
      </c>
      <c r="E96" s="13">
        <f>D96*(1+UF_Assumptions_2!D24)</f>
        <v>10770.386447028652</v>
      </c>
      <c r="F96" s="13">
        <f>E96*(1+UF_Assumptions_2!E24)</f>
        <v>11244.283450697912</v>
      </c>
      <c r="G96" s="13">
        <f>F96*(1+UF_Assumptions_2!F24)</f>
        <v>11739.03192252862</v>
      </c>
      <c r="H96" s="13">
        <f>G96*(1+UF_Assumptions_2!G24)</f>
        <v>12255.549327119879</v>
      </c>
      <c r="I96" s="13">
        <f>H96*(1+UF_Assumptions_2!H24)</f>
        <v>12807.049046840273</v>
      </c>
      <c r="J96" s="13">
        <f>I96*(1+UF_Assumptions_2!I24)</f>
        <v>13383.366253948085</v>
      </c>
      <c r="K96" s="13">
        <f>J96*(1+UF_Assumptions_2!J24)</f>
        <v>13985.617735375748</v>
      </c>
      <c r="L96" s="13"/>
    </row>
    <row r="97" spans="1:23">
      <c r="A97" t="s">
        <v>11</v>
      </c>
      <c r="B97" s="13">
        <f>Baseline!J31*UF_Assumptions_1!B13*UF_Assumptions_1!D13*UF_Assumptions_1!C13*UF_Assumptions_1!J13*UF_Assumptions_1!G13*UF_Assumptions_1!F13</f>
        <v>6035.072584392613</v>
      </c>
      <c r="C97" s="13">
        <f>B97*(1+UF_Assumptions_2!B25)</f>
        <v>6300.6157781058882</v>
      </c>
      <c r="D97" s="13">
        <f>C97*(1+UF_Assumptions_2!C25)</f>
        <v>6590.4441038987597</v>
      </c>
      <c r="E97" s="13">
        <f>D97*(1+UF_Assumptions_2!D25)</f>
        <v>6887.0140885742039</v>
      </c>
      <c r="F97" s="13">
        <f>E97*(1+UF_Assumptions_2!E25)</f>
        <v>7190.0427084714693</v>
      </c>
      <c r="G97" s="13">
        <f>F97*(1+UF_Assumptions_2!F25)</f>
        <v>7506.4045876442142</v>
      </c>
      <c r="H97" s="13">
        <f>G97*(1+UF_Assumptions_2!G25)</f>
        <v>7836.6863895005599</v>
      </c>
      <c r="I97" s="13">
        <f>H97*(1+UF_Assumptions_2!H25)</f>
        <v>8189.3372770280848</v>
      </c>
      <c r="J97" s="13">
        <f>I97*(1+UF_Assumptions_2!I25)</f>
        <v>8557.8574544943476</v>
      </c>
      <c r="K97" s="13">
        <f>J97*(1+UF_Assumptions_2!J25)</f>
        <v>8942.9610399465928</v>
      </c>
      <c r="L97" s="13"/>
    </row>
    <row r="98" spans="1:23">
      <c r="A98" t="s">
        <v>13</v>
      </c>
      <c r="B98" s="13">
        <f>Baseline!J$35</f>
        <v>13015.934321462773</v>
      </c>
      <c r="C98" s="13">
        <f>Baseline!K$35</f>
        <v>13476.024721270978</v>
      </c>
      <c r="D98" s="13">
        <f>Baseline!L$35</f>
        <v>13923.220163679234</v>
      </c>
      <c r="E98" s="13">
        <f>Baseline!M$35</f>
        <v>14458.753862211928</v>
      </c>
      <c r="F98" s="13">
        <f>Baseline!N$35</f>
        <v>15047.036138730071</v>
      </c>
      <c r="G98" s="13">
        <f>Baseline!O$35</f>
        <v>15608.734786912868</v>
      </c>
      <c r="H98" s="13">
        <f>Baseline!P$35</f>
        <v>16159.948137089295</v>
      </c>
      <c r="I98" s="13">
        <f>Baseline!Q$35</f>
        <v>16766.700865673727</v>
      </c>
      <c r="J98" s="13">
        <f>Baseline!R$35</f>
        <v>17396.231249972214</v>
      </c>
      <c r="K98" s="13">
        <f>Baseline!S$35</f>
        <v>18049.393987394586</v>
      </c>
      <c r="L98" s="13"/>
    </row>
    <row r="99" spans="1:23">
      <c r="A99" s="6" t="s">
        <v>71</v>
      </c>
      <c r="B99" s="13">
        <f>Baseline!J36</f>
        <v>28791.565066927964</v>
      </c>
      <c r="C99" s="13">
        <f>B99*(1+UF_Assumptions_2!B27)</f>
        <v>30058.393929872796</v>
      </c>
      <c r="D99" s="13">
        <f>C99*(1+UF_Assumptions_2!C27)</f>
        <v>31441.080050646946</v>
      </c>
      <c r="E99" s="13">
        <f>D99*(1+UF_Assumptions_2!D27)</f>
        <v>32855.928652926057</v>
      </c>
      <c r="F99" s="13">
        <f>E99*(1+UF_Assumptions_2!E27)</f>
        <v>34301.589513654806</v>
      </c>
      <c r="G99" s="13">
        <f>F99*(1+UF_Assumptions_2!F27)</f>
        <v>35810.859452255616</v>
      </c>
      <c r="H99" s="13">
        <f>G99*(1+UF_Assumptions_2!G27)</f>
        <v>37386.537268154862</v>
      </c>
      <c r="I99" s="13">
        <f>H99*(1+UF_Assumptions_2!H27)</f>
        <v>39068.931445221824</v>
      </c>
      <c r="J99" s="13">
        <f>I99*(1+UF_Assumptions_2!I27)</f>
        <v>40827.033360256806</v>
      </c>
      <c r="K99" s="13">
        <f>J99*(1+UF_Assumptions_2!J27)</f>
        <v>42664.249861468357</v>
      </c>
      <c r="L99" s="13"/>
    </row>
    <row r="100" spans="1:23">
      <c r="A100" s="6" t="s">
        <v>166</v>
      </c>
      <c r="B100" s="13">
        <f>SUM(B88:B97)*(UF_Assumptions_1!B$19/(1-UF_Assumptions_1!B$19))</f>
        <v>27512.315392460838</v>
      </c>
      <c r="C100" s="13">
        <f>SUM(C88:C97)*(UF_Assumptions_1!C$19/(1-UF_Assumptions_1!C$19))</f>
        <v>28722.857269729117</v>
      </c>
      <c r="D100" s="13">
        <f>SUM(D88:D97)*(UF_Assumptions_1!D$19/(1-UF_Assumptions_1!D$19))</f>
        <v>30044.108704136659</v>
      </c>
      <c r="E100" s="13">
        <f>SUM(E88:E97)*(UF_Assumptions_1!E$19/(1-UF_Assumptions_1!E$19))</f>
        <v>31396.093595822804</v>
      </c>
      <c r="F100" s="13">
        <f>SUM(F88:F97)*(UF_Assumptions_1!F$19/(1-UF_Assumptions_1!F$19))</f>
        <v>32777.521714039009</v>
      </c>
      <c r="G100" s="13">
        <f>SUM(G88:G97)*(UF_Assumptions_1!G$19/(1-UF_Assumptions_1!G$19))</f>
        <v>34219.732669456724</v>
      </c>
      <c r="H100" s="13">
        <f>SUM(H88:H97)*(UF_Assumptions_1!H$19/(1-UF_Assumptions_1!H$19))</f>
        <v>35725.400906912815</v>
      </c>
      <c r="I100" s="13">
        <f>SUM(I88:I97)*(UF_Assumptions_1!I$19/(1-UF_Assumptions_1!I$19))</f>
        <v>37333.043947723905</v>
      </c>
      <c r="J100" s="13">
        <f>SUM(J88:J97)*(UF_Assumptions_1!J$19/(1-UF_Assumptions_1!J$19))</f>
        <v>39013.030925371473</v>
      </c>
      <c r="K100" s="13">
        <f>SUM(K88:K97)*(UF_Assumptions_1!K$19/(1-UF_Assumptions_1!K$19))</f>
        <v>40768.617317013188</v>
      </c>
      <c r="L100" s="56">
        <f>B100/((SUM(B88:B97)+B100))</f>
        <v>0.06</v>
      </c>
    </row>
    <row r="101" spans="1:23">
      <c r="A101" s="212" t="s">
        <v>218</v>
      </c>
      <c r="B101" s="13">
        <f>UF_Assumptions_1!$B$28*UF_Assumptions_1!$B$30/1000000</f>
        <v>1042.6805944431842</v>
      </c>
      <c r="C101" s="13">
        <f>UF_Assumptions_1!$B$28*UF_Assumptions_1!$B$30/1000000</f>
        <v>1042.6805944431842</v>
      </c>
      <c r="D101" s="13">
        <f>UF_Assumptions_1!$B$28*UF_Assumptions_1!$B$30/1000000</f>
        <v>1042.6805944431842</v>
      </c>
      <c r="E101" s="13">
        <f>UF_Assumptions_1!$B$28*UF_Assumptions_1!$B$30/1000000</f>
        <v>1042.6805944431842</v>
      </c>
      <c r="F101" s="13">
        <f>UF_Assumptions_1!$B$28*UF_Assumptions_1!$B$30/1000000</f>
        <v>1042.6805944431842</v>
      </c>
      <c r="G101" s="13">
        <f>UF_Assumptions_1!$B$28*UF_Assumptions_1!$B$30/1000000</f>
        <v>1042.6805944431842</v>
      </c>
      <c r="H101" s="13">
        <f>UF_Assumptions_1!$B$28*UF_Assumptions_1!$B$30/1000000</f>
        <v>1042.6805944431842</v>
      </c>
      <c r="I101" s="13">
        <f>UF_Assumptions_1!$B$28*UF_Assumptions_1!$B$30/1000000</f>
        <v>1042.6805944431842</v>
      </c>
      <c r="J101" s="13">
        <f>UF_Assumptions_1!$B$28*UF_Assumptions_1!$B$30/1000000</f>
        <v>1042.6805944431842</v>
      </c>
      <c r="K101" s="13">
        <f>UF_Assumptions_1!$B$28*UF_Assumptions_1!$B$30/1000000</f>
        <v>1042.6805944431842</v>
      </c>
      <c r="L101" s="13"/>
    </row>
    <row r="102" spans="1:23">
      <c r="A102" s="211" t="s">
        <v>276</v>
      </c>
      <c r="B102" s="13">
        <f>((UF_Calculations_2!B82-UF_Assumptions_1!$B$60)/UF_Assumptions_1!$B$63)+UF_Assumptions_1!$B$61</f>
        <v>3537.1633259899727</v>
      </c>
      <c r="C102" s="13">
        <f>((UF_Calculations_2!C82-UF_Assumptions_1!$B$60)/UF_Assumptions_1!$B$63)+UF_Assumptions_1!$B$61</f>
        <v>3654.809898111539</v>
      </c>
      <c r="D102" s="13">
        <f>((UF_Calculations_2!D82-UF_Assumptions_1!$B$60)/UF_Assumptions_1!$B$63)+UF_Assumptions_1!$B$61</f>
        <v>3792.7771811755811</v>
      </c>
      <c r="E102" s="13">
        <f>((UF_Calculations_2!E82-UF_Assumptions_1!$B$60)/UF_Assumptions_1!$B$63)+UF_Assumptions_1!$B$61</f>
        <v>3919.2449082998328</v>
      </c>
      <c r="F102" s="13">
        <f>((UF_Calculations_2!F82-UF_Assumptions_1!$B$60)/UF_Assumptions_1!$B$63)+UF_Assumptions_1!$B$61</f>
        <v>4033.0551672833672</v>
      </c>
      <c r="G102" s="13">
        <f>((UF_Calculations_2!G82-UF_Assumptions_1!$B$60)/UF_Assumptions_1!$B$63)+UF_Assumptions_1!$B$61</f>
        <v>4154.7747081638745</v>
      </c>
      <c r="H102" s="13">
        <f>((UF_Calculations_2!H82-UF_Assumptions_1!$B$60)/UF_Assumptions_1!$B$63)+UF_Assumptions_1!$B$61</f>
        <v>4277.5390837173345</v>
      </c>
      <c r="I102" s="13">
        <f>((UF_Calculations_2!I82-UF_Assumptions_1!$B$60)/UF_Assumptions_1!$B$63)+UF_Assumptions_1!$B$61</f>
        <v>4403.2164291837635</v>
      </c>
      <c r="J102" s="13">
        <f>((UF_Calculations_2!J82-UF_Assumptions_1!$B$60)/UF_Assumptions_1!$B$63)+UF_Assumptions_1!$B$61</f>
        <v>4527.5359880427459</v>
      </c>
      <c r="K102" s="13">
        <f>((UF_Calculations_2!K82-UF_Assumptions_1!$B$60)/UF_Assumptions_1!$B$63)+UF_Assumptions_1!$B$61</f>
        <v>4649.924250309874</v>
      </c>
      <c r="L102" s="13"/>
    </row>
    <row r="103" spans="1:23">
      <c r="A103" s="8" t="s">
        <v>14</v>
      </c>
      <c r="B103" s="88">
        <f t="shared" ref="B103:K103" si="5">SUM(B88:B102)</f>
        <v>504925.9331831712</v>
      </c>
      <c r="C103" s="88">
        <f t="shared" si="5"/>
        <v>526946.19697251706</v>
      </c>
      <c r="D103" s="88">
        <f t="shared" si="5"/>
        <v>550934.90305888932</v>
      </c>
      <c r="E103" s="88">
        <f t="shared" si="5"/>
        <v>575544.83461492788</v>
      </c>
      <c r="F103" s="88">
        <f t="shared" si="5"/>
        <v>600716.38998142839</v>
      </c>
      <c r="G103" s="88">
        <f t="shared" si="5"/>
        <v>626945.9273660545</v>
      </c>
      <c r="H103" s="88">
        <f t="shared" si="5"/>
        <v>654290.05353195185</v>
      </c>
      <c r="I103" s="88">
        <f t="shared" si="5"/>
        <v>683498.92846325424</v>
      </c>
      <c r="J103" s="88">
        <f t="shared" si="5"/>
        <v>714010.66328223958</v>
      </c>
      <c r="K103" s="88">
        <f t="shared" si="5"/>
        <v>745883.20397716924</v>
      </c>
      <c r="L103" s="88"/>
    </row>
    <row r="104" spans="1:23" s="2" customFormat="1">
      <c r="A104" s="2" t="s">
        <v>221</v>
      </c>
    </row>
    <row r="105" spans="1:23">
      <c r="A105" t="s">
        <v>4</v>
      </c>
      <c r="B105" s="13">
        <f>Baseline!J22*UF_Assumptions_1!B4*UF_Assumptions_1!D4*UF_Assumptions_1!H4*UF_Assumptions_1!C4*UF_Assumptions_1!I4*UF_Assumptions_1!G4*UF_Assumptions_1!F4</f>
        <v>163701.34411711179</v>
      </c>
      <c r="C105" s="13">
        <f>B105*(1+UF_Assumptions_2!B3)</f>
        <v>172541.21669943584</v>
      </c>
      <c r="D105" s="13">
        <f>C105*(1+UF_Assumptions_2!C3)</f>
        <v>181685.90118450593</v>
      </c>
      <c r="E105" s="13">
        <f>D105*(1+UF_Assumptions_2!D3)</f>
        <v>191678.62574965373</v>
      </c>
      <c r="F105" s="13">
        <f>E105*(1+UF_Assumptions_2!E3)</f>
        <v>202795.98604313366</v>
      </c>
      <c r="G105" s="13">
        <f>F105*(1+UF_Assumptions_2!F3)</f>
        <v>213746.9692894629</v>
      </c>
      <c r="H105" s="13">
        <f>G105*(1+UF_Assumptions_2!G3)</f>
        <v>225289.30563109391</v>
      </c>
      <c r="I105" s="13">
        <f>H105*(1+UF_Assumptions_2!H3)</f>
        <v>237755.31387601446</v>
      </c>
      <c r="J105" s="13">
        <f>I105*(1+UF_Assumptions_2!I3)</f>
        <v>250911.10791048731</v>
      </c>
      <c r="K105" s="13">
        <f>J105*(1+UF_Assumptions_2!J3)</f>
        <v>264794.85588153428</v>
      </c>
      <c r="L105" s="269"/>
      <c r="M105" s="269"/>
      <c r="N105" s="269"/>
      <c r="O105" s="269"/>
      <c r="P105" s="269"/>
      <c r="Q105" s="269"/>
      <c r="R105" s="269"/>
      <c r="S105" s="269"/>
      <c r="T105" s="269"/>
      <c r="U105" s="269"/>
      <c r="V105" s="269"/>
      <c r="W105" s="269"/>
    </row>
    <row r="106" spans="1:23">
      <c r="A106" t="s">
        <v>5</v>
      </c>
      <c r="B106" s="13">
        <f>Baseline!J23*UF_Assumptions_1!B5*UF_Assumptions_1!D5*UF_Assumptions_1!H5*UF_Assumptions_1!C5*UF_Assumptions_1!I5*UF_Assumptions_1!G5*UF_Assumptions_1!F5</f>
        <v>123004.95380599918</v>
      </c>
      <c r="C106" s="13">
        <f>B106*(1+UF_Assumptions_2!B4)</f>
        <v>129155.20149629914</v>
      </c>
      <c r="D106" s="13">
        <f>C106*(1+UF_Assumptions_2!C4)</f>
        <v>135612.96157111411</v>
      </c>
      <c r="E106" s="13">
        <f>D106*(1+UF_Assumptions_2!D4)</f>
        <v>142800.44853438315</v>
      </c>
      <c r="F106" s="13">
        <f>E106*(1+UF_Assumptions_2!E4)</f>
        <v>149940.47096110231</v>
      </c>
      <c r="G106" s="13">
        <f>F106*(1+UF_Assumptions_2!F4)</f>
        <v>157587.43498011853</v>
      </c>
      <c r="H106" s="13">
        <f>G106*(1+UF_Assumptions_2!G4)</f>
        <v>165624.39416410457</v>
      </c>
      <c r="I106" s="13">
        <f>H106*(1+UF_Assumptions_2!H4)</f>
        <v>174016.03013508586</v>
      </c>
      <c r="J106" s="13">
        <f>I106*(1+UF_Assumptions_2!I4)</f>
        <v>182832.84232859689</v>
      </c>
      <c r="K106" s="13">
        <f>J106*(1+UF_Assumptions_2!J4)</f>
        <v>192096.37300657912</v>
      </c>
      <c r="L106" s="13"/>
    </row>
    <row r="107" spans="1:23">
      <c r="A107" t="s">
        <v>6</v>
      </c>
      <c r="B107" s="13">
        <f>Baseline!J24*UF_Assumptions_1!B6*UF_Assumptions_1!D6*UF_Assumptions_1!H6*UF_Assumptions_1!C6*UF_Assumptions_1!I6*UF_Assumptions_1!G6*UF_Assumptions_1!F6</f>
        <v>14846.36606553379</v>
      </c>
      <c r="C107" s="13">
        <f>B107*(1+UF_Assumptions_2!B5)</f>
        <v>15588.68436881048</v>
      </c>
      <c r="D107" s="13">
        <f>C107*(1+UF_Assumptions_2!C5)</f>
        <v>16368.118587251005</v>
      </c>
      <c r="E107" s="13">
        <f>D107*(1+UF_Assumptions_2!D5)</f>
        <v>17170.156398026302</v>
      </c>
      <c r="F107" s="13">
        <f>E107*(1+UF_Assumptions_2!E5)</f>
        <v>18011.494061529589</v>
      </c>
      <c r="G107" s="13">
        <f>F107*(1+UF_Assumptions_2!F5)</f>
        <v>18912.068764606069</v>
      </c>
      <c r="H107" s="13">
        <f>G107*(1+UF_Assumptions_2!G5)</f>
        <v>19838.760134071767</v>
      </c>
      <c r="I107" s="13">
        <f>H107*(1+UF_Assumptions_2!H5)</f>
        <v>20817.472300685971</v>
      </c>
      <c r="J107" s="13">
        <f>I107*(1+UF_Assumptions_2!I5)</f>
        <v>21844.467600853142</v>
      </c>
      <c r="K107" s="13">
        <f>J107*(1+UF_Assumptions_2!J5)</f>
        <v>22922.128002495228</v>
      </c>
      <c r="L107" s="13"/>
    </row>
    <row r="108" spans="1:23">
      <c r="A108" t="s">
        <v>7</v>
      </c>
      <c r="B108" s="13">
        <f>Baseline!J25*UF_Assumptions_1!B7*UF_Assumptions_1!D7*UF_Assumptions_1!H7*UF_Assumptions_1!C7*UF_Assumptions_1!I7*UF_Assumptions_1!G7*UF_Assumptions_1!F7</f>
        <v>24941.422865988508</v>
      </c>
      <c r="C108" s="13">
        <f>B108*(1+UF_Assumptions_2!B6)</f>
        <v>25914.138357762058</v>
      </c>
      <c r="D108" s="13">
        <f>C108*(1+UF_Assumptions_2!C6)</f>
        <v>26924.789753714776</v>
      </c>
      <c r="E108" s="13">
        <f>D108*(1+UF_Assumptions_2!D6)</f>
        <v>27974.85655410965</v>
      </c>
      <c r="F108" s="13">
        <f>E108*(1+UF_Assumptions_2!E6)</f>
        <v>29065.875959719924</v>
      </c>
      <c r="G108" s="13">
        <f>F108*(1+UF_Assumptions_2!F6)</f>
        <v>30170.379246189281</v>
      </c>
      <c r="H108" s="13">
        <f>G108*(1+UF_Assumptions_2!G6)</f>
        <v>31316.853657544474</v>
      </c>
      <c r="I108" s="13">
        <f>H108*(1+UF_Assumptions_2!H6)</f>
        <v>32517.333047750344</v>
      </c>
      <c r="J108" s="13">
        <f>I108*(1+UF_Assumptions_2!I6)</f>
        <v>33763.830814580775</v>
      </c>
      <c r="K108" s="13">
        <f>J108*(1+UF_Assumptions_2!J6)</f>
        <v>35058.110995806368</v>
      </c>
      <c r="L108" s="13"/>
    </row>
    <row r="109" spans="1:23">
      <c r="A109" t="s">
        <v>8</v>
      </c>
      <c r="B109" s="13">
        <f>Baseline!J26*UF_Assumptions_1!B8*UF_Assumptions_1!D8*UF_Assumptions_1!H8*UF_Assumptions_1!C8*UF_Assumptions_1!K8*UF_Assumptions_1!I8*UF_Assumptions_1!G8*UF_Assumptions_1!F8</f>
        <v>52286.231772280262</v>
      </c>
      <c r="C109" s="13">
        <f>B109*(1+UF_Assumptions_2!B7)</f>
        <v>55005.115824438835</v>
      </c>
      <c r="D109" s="13">
        <f>C109*(1+UF_Assumptions_2!C7)</f>
        <v>57645.3613840119</v>
      </c>
      <c r="E109" s="13">
        <f>D109*(1+UF_Assumptions_2!D7)</f>
        <v>60642.920175980522</v>
      </c>
      <c r="F109" s="13">
        <f>E109*(1+UF_Assumptions_2!E7)</f>
        <v>63796.352025131513</v>
      </c>
      <c r="G109" s="13">
        <f>F109*(1+UF_Assumptions_2!F7)</f>
        <v>67113.76233043836</v>
      </c>
      <c r="H109" s="13">
        <f>G109*(1+UF_Assumptions_2!G7)</f>
        <v>70536.564209290707</v>
      </c>
      <c r="I109" s="13">
        <f>H109*(1+UF_Assumptions_2!H7)</f>
        <v>74180.95336010406</v>
      </c>
      <c r="J109" s="13">
        <f>I109*(1+UF_Assumptions_2!I7)</f>
        <v>78013.635950376105</v>
      </c>
      <c r="K109" s="13">
        <f>J109*(1+UF_Assumptions_2!J7)</f>
        <v>82044.340474478871</v>
      </c>
      <c r="L109" s="13"/>
    </row>
    <row r="110" spans="1:23">
      <c r="A110" t="s">
        <v>9</v>
      </c>
      <c r="B110" s="13">
        <f>Baseline!J27*UF_Assumptions_1!B9*UF_Assumptions_1!D9*UF_Assumptions_1!H9*UF_Assumptions_1!C9*UF_Assumptions_1!I9*UF_Assumptions_1!G9*UF_Assumptions_1!F9</f>
        <v>20867.90919503873</v>
      </c>
      <c r="C110" s="13">
        <f>B110*(1+UF_Assumptions_2!B8)</f>
        <v>22266.059111106322</v>
      </c>
      <c r="D110" s="13">
        <f>C110*(1+UF_Assumptions_2!C8)</f>
        <v>23713.352953328231</v>
      </c>
      <c r="E110" s="13">
        <f>D110*(1+UF_Assumptions_2!D8)</f>
        <v>25278.434248247897</v>
      </c>
      <c r="F110" s="13">
        <f>E110*(1+UF_Assumptions_2!E8)</f>
        <v>26921.53247438401</v>
      </c>
      <c r="G110" s="13">
        <f>F110*(1+UF_Assumptions_2!F8)</f>
        <v>28725.275150167738</v>
      </c>
      <c r="H110" s="13">
        <f>G110*(1+UF_Assumptions_2!G8)</f>
        <v>30649.868585228975</v>
      </c>
      <c r="I110" s="13">
        <f>H110*(1+UF_Assumptions_2!H8)</f>
        <v>32682.976534715832</v>
      </c>
      <c r="J110" s="13">
        <f>I110*(1+UF_Assumptions_2!I8)</f>
        <v>34850.947311518648</v>
      </c>
      <c r="K110" s="13">
        <f>J110*(1+UF_Assumptions_2!J8)</f>
        <v>37162.726816516049</v>
      </c>
      <c r="L110" s="13"/>
    </row>
    <row r="111" spans="1:23">
      <c r="A111" t="s">
        <v>10</v>
      </c>
      <c r="B111" s="13">
        <f>Baseline!J28*UF_Assumptions_1!B10*UF_Assumptions_1!D10*UF_Assumptions_1!H10*UF_Assumptions_1!C10*UF_Assumptions_1!I10*UF_Assumptions_1!G10*UF_Assumptions_1!F10</f>
        <v>17757.579038677741</v>
      </c>
      <c r="C111" s="13">
        <f>B111*(1+UF_Assumptions_2!B9)</f>
        <v>18521.154937340882</v>
      </c>
      <c r="D111" s="13">
        <f>C111*(1+UF_Assumptions_2!C9)</f>
        <v>19262.001134834518</v>
      </c>
      <c r="E111" s="13">
        <f>D111*(1+UF_Assumptions_2!D9)</f>
        <v>20032.4811802279</v>
      </c>
      <c r="F111" s="13">
        <f>E111*(1+UF_Assumptions_2!E9)</f>
        <v>20873.845389797472</v>
      </c>
      <c r="G111" s="13">
        <f>F111*(1+UF_Assumptions_2!F9)</f>
        <v>21792.294586948563</v>
      </c>
      <c r="H111" s="13">
        <f>G111*(1+UF_Assumptions_2!G9)</f>
        <v>22816.532432535143</v>
      </c>
      <c r="I111" s="13">
        <f>H111*(1+UF_Assumptions_2!H9)</f>
        <v>23828.065370377535</v>
      </c>
      <c r="J111" s="13">
        <f>I111*(1+UF_Assumptions_2!I9)</f>
        <v>24884.442935130941</v>
      </c>
      <c r="K111" s="13">
        <f>J111*(1+UF_Assumptions_2!J9)</f>
        <v>25987.653238588413</v>
      </c>
      <c r="L111" s="13"/>
    </row>
    <row r="112" spans="1:23">
      <c r="A112" t="s">
        <v>18</v>
      </c>
      <c r="B112" s="13">
        <f>Baseline!J29*UF_Assumptions_1!B11*UF_Assumptions_1!D11*UF_Assumptions_1!H11*UF_Assumptions_1!C11*UF_Assumptions_1!I11*UF_Assumptions_1!G11*UF_Assumptions_1!F11</f>
        <v>30129.715383992829</v>
      </c>
      <c r="C112" s="13">
        <f>B112*(1+UF_Assumptions_2!B10)</f>
        <v>31726.590299344447</v>
      </c>
      <c r="D112" s="13">
        <f>C112*(1+UF_Assumptions_2!C10)</f>
        <v>33439.82617550905</v>
      </c>
      <c r="E112" s="13">
        <f>D112*(1+UF_Assumptions_2!D10)</f>
        <v>35212.136962811026</v>
      </c>
      <c r="F112" s="13">
        <f>E112*(1+UF_Assumptions_2!E10)</f>
        <v>37148.804495765631</v>
      </c>
      <c r="G112" s="13">
        <f>F112*(1+UF_Assumptions_2!F10)</f>
        <v>39191.988743032736</v>
      </c>
      <c r="H112" s="13">
        <f>G112*(1+UF_Assumptions_2!G10)</f>
        <v>41308.356135156508</v>
      </c>
      <c r="I112" s="13">
        <f>H112*(1+UF_Assumptions_2!H10)</f>
        <v>43566.546270545063</v>
      </c>
      <c r="J112" s="13">
        <f>I112*(1+UF_Assumptions_2!I10)</f>
        <v>45948.184133334857</v>
      </c>
      <c r="K112" s="13">
        <f>J112*(1+UF_Assumptions_2!J10)</f>
        <v>48460.018199290491</v>
      </c>
      <c r="L112" s="13"/>
    </row>
    <row r="113" spans="1:12">
      <c r="A113" t="s">
        <v>16</v>
      </c>
      <c r="B113" s="13">
        <f>Baseline!J30*UF_Assumptions_1!B12*UF_Assumptions_1!D12*UF_Assumptions_1!H12*UF_Assumptions_1!C12*UF_Assumptions_1!I12*UF_Assumptions_1!G12*UF_Assumptions_1!F12</f>
        <v>9782.1964709051808</v>
      </c>
      <c r="C113" s="13">
        <f>B113*(1+UF_Assumptions_2!B11)</f>
        <v>10183.266526212292</v>
      </c>
      <c r="D113" s="13">
        <f>C113*(1+UF_Assumptions_2!C11)</f>
        <v>10610.963720313208</v>
      </c>
      <c r="E113" s="13">
        <f>D113*(1+UF_Assumptions_2!D11)</f>
        <v>11056.624196566363</v>
      </c>
      <c r="F113" s="13">
        <f>E113*(1+UF_Assumptions_2!E11)</f>
        <v>11521.00241282215</v>
      </c>
      <c r="G113" s="13">
        <f>F113*(1+UF_Assumptions_2!F11)</f>
        <v>12016.405516573503</v>
      </c>
      <c r="H113" s="13">
        <f>G113*(1+UF_Assumptions_2!G11)</f>
        <v>12533.110953786163</v>
      </c>
      <c r="I113" s="13">
        <f>H113*(1+UF_Assumptions_2!H11)</f>
        <v>13067.857021147705</v>
      </c>
      <c r="J113" s="13">
        <f>I113*(1+UF_Assumptions_2!I11)</f>
        <v>13625.418920716673</v>
      </c>
      <c r="K113" s="13">
        <f>J113*(1+UF_Assumptions_2!J11)</f>
        <v>14206.770128000584</v>
      </c>
      <c r="L113" s="13"/>
    </row>
    <row r="114" spans="1:12">
      <c r="A114" t="s">
        <v>11</v>
      </c>
      <c r="B114" s="13">
        <f>Baseline!J31*UF_Assumptions_1!B13*UF_Assumptions_1!D13*UF_Assumptions_1!H13*UF_Assumptions_1!C13*UF_Assumptions_1!I13*UF_Assumptions_1!G13*UF_Assumptions_1!F13</f>
        <v>6255.1260573301888</v>
      </c>
      <c r="C114" s="13">
        <f>B114*(1+UF_Assumptions_2!B12)</f>
        <v>6592.9028644260197</v>
      </c>
      <c r="D114" s="13">
        <f>C114*(1+UF_Assumptions_2!C12)</f>
        <v>6948.919619105025</v>
      </c>
      <c r="E114" s="13">
        <f>D114*(1+UF_Assumptions_2!D12)</f>
        <v>7324.161278536697</v>
      </c>
      <c r="F114" s="13">
        <f>E114*(1+UF_Assumptions_2!E12)</f>
        <v>7719.6659875776786</v>
      </c>
      <c r="G114" s="13">
        <f>F114*(1+UF_Assumptions_2!F12)</f>
        <v>8151.9672828820294</v>
      </c>
      <c r="H114" s="13">
        <f>G114*(1+UF_Assumptions_2!G12)</f>
        <v>8567.7176143090128</v>
      </c>
      <c r="I114" s="13">
        <f>H114*(1+UF_Assumptions_2!H12)</f>
        <v>9027.5184596102645</v>
      </c>
      <c r="J114" s="13">
        <f>I114*(1+UF_Assumptions_2!I12)</f>
        <v>9511.9952836093489</v>
      </c>
      <c r="K114" s="13">
        <f>J114*(1+UF_Assumptions_2!J12)</f>
        <v>10022.472363829718</v>
      </c>
      <c r="L114" s="13"/>
    </row>
    <row r="115" spans="1:12">
      <c r="A115" t="s">
        <v>13</v>
      </c>
      <c r="B115" s="13">
        <f>Baseline!J$35</f>
        <v>13015.934321462773</v>
      </c>
      <c r="C115" s="13">
        <f>Baseline!K$35</f>
        <v>13476.024721270978</v>
      </c>
      <c r="D115" s="13">
        <f>Baseline!L$35</f>
        <v>13923.220163679234</v>
      </c>
      <c r="E115" s="13">
        <f>Baseline!M$35</f>
        <v>14458.753862211928</v>
      </c>
      <c r="F115" s="13">
        <f>Baseline!N$35</f>
        <v>15047.036138730071</v>
      </c>
      <c r="G115" s="13">
        <f>Baseline!O$35</f>
        <v>15608.734786912868</v>
      </c>
      <c r="H115" s="13">
        <f>Baseline!P$35</f>
        <v>16159.948137089295</v>
      </c>
      <c r="I115" s="13">
        <f>Baseline!Q$35</f>
        <v>16766.700865673727</v>
      </c>
      <c r="J115" s="13">
        <f>Baseline!R$35</f>
        <v>17396.231249972214</v>
      </c>
      <c r="K115" s="13">
        <f>Baseline!S$35</f>
        <v>18049.393987394586</v>
      </c>
      <c r="L115" s="13"/>
    </row>
    <row r="116" spans="1:12">
      <c r="A116" t="s">
        <v>71</v>
      </c>
      <c r="B116" s="13">
        <f>Baseline!J36</f>
        <v>28791.565066927964</v>
      </c>
      <c r="C116" s="13">
        <f>B116*(1+UF_Assumptions_2!B14)</f>
        <v>30144.768625073575</v>
      </c>
      <c r="D116" s="13">
        <f>C116*(1+UF_Assumptions_2!C14)</f>
        <v>31561.572750452033</v>
      </c>
      <c r="E116" s="13">
        <f>D116*(1+UF_Assumptions_2!D14)</f>
        <v>33076.528242473731</v>
      </c>
      <c r="F116" s="13">
        <f>E116*(1+UF_Assumptions_2!E14)</f>
        <v>34664.201598112471</v>
      </c>
      <c r="G116" s="13">
        <f>F116*(1+UF_Assumptions_2!F14)</f>
        <v>36328.083274821875</v>
      </c>
      <c r="H116" s="13">
        <f>G116*(1+UF_Assumptions_2!G14)</f>
        <v>38035.503188738498</v>
      </c>
      <c r="I116" s="13">
        <f>H116*(1+UF_Assumptions_2!H14)</f>
        <v>39848.528840735038</v>
      </c>
      <c r="J116" s="13">
        <f>I116*(1+UF_Assumptions_2!I14)</f>
        <v>41747.975382143413</v>
      </c>
      <c r="K116" s="13">
        <f>J116*(1+UF_Assumptions_2!J14)</f>
        <v>43737.962208692254</v>
      </c>
      <c r="L116" s="13"/>
    </row>
    <row r="117" spans="1:12">
      <c r="A117" s="6" t="s">
        <v>166</v>
      </c>
      <c r="B117" s="13">
        <f>SUM(B105:B114)*(UF_Assumptions_1!B$18/(1-UF_Assumptions_1!B$18))</f>
        <v>14337.304477511076</v>
      </c>
      <c r="C117" s="13">
        <f>SUM(C105:C114)*(UF_Assumptions_1!C$18/(1-UF_Assumptions_1!C$18))</f>
        <v>15077.144241809578</v>
      </c>
      <c r="D117" s="13">
        <f>SUM(D105:D114)*(UF_Assumptions_1!D$18/(1-UF_Assumptions_1!D$18))</f>
        <v>15841.614311866631</v>
      </c>
      <c r="E117" s="13">
        <f>SUM(E105:E114)*(UF_Assumptions_1!E$18/(1-UF_Assumptions_1!E$18))</f>
        <v>16675.386967377624</v>
      </c>
      <c r="F117" s="13">
        <f>SUM(F105:F114)*(UF_Assumptions_1!F$18/(1-UF_Assumptions_1!F$18))</f>
        <v>17560.671025081356</v>
      </c>
      <c r="G117" s="13">
        <f>SUM(G105:G114)*(UF_Assumptions_1!G$18/(1-UF_Assumptions_1!G$18))</f>
        <v>18476.55296568308</v>
      </c>
      <c r="H117" s="13">
        <f>SUM(H105:H114)*(UF_Assumptions_1!H$18/(1-UF_Assumptions_1!H$18))</f>
        <v>19437.571036612</v>
      </c>
      <c r="I117" s="13">
        <f>SUM(I105:I114)*(UF_Assumptions_1!I$18/(1-UF_Assumptions_1!I$18))</f>
        <v>20457.527826063008</v>
      </c>
      <c r="J117" s="13">
        <f>SUM(J105:J114)*(UF_Assumptions_1!J$18/(1-UF_Assumptions_1!J$18))</f>
        <v>21531.552779047564</v>
      </c>
      <c r="K117" s="13">
        <f>SUM(K105:K114)*(UF_Assumptions_1!K$18/(1-UF_Assumptions_1!K$18))</f>
        <v>22662.539663106774</v>
      </c>
      <c r="L117" s="56">
        <f>B117/((SUM(B105:B114)+B117))</f>
        <v>3.0000000000000002E-2</v>
      </c>
    </row>
    <row r="118" spans="1:12">
      <c r="A118" s="212" t="s">
        <v>218</v>
      </c>
      <c r="B118" s="13">
        <f>UF_Assumptions_1!$B$28/1000000</f>
        <v>2085.3611888863684</v>
      </c>
      <c r="C118" s="13">
        <f>UF_Assumptions_1!$B$28/1000000</f>
        <v>2085.3611888863684</v>
      </c>
      <c r="D118" s="13">
        <f>UF_Assumptions_1!$B$28/1000000</f>
        <v>2085.3611888863684</v>
      </c>
      <c r="E118" s="13">
        <f>UF_Assumptions_1!$B$28/1000000</f>
        <v>2085.3611888863684</v>
      </c>
      <c r="F118" s="13">
        <f>UF_Assumptions_1!$B$28/1000000</f>
        <v>2085.3611888863684</v>
      </c>
      <c r="G118" s="13">
        <f>UF_Assumptions_1!$B$28/1000000</f>
        <v>2085.3611888863684</v>
      </c>
      <c r="H118" s="13">
        <f>UF_Assumptions_1!$B$28/1000000</f>
        <v>2085.3611888863684</v>
      </c>
      <c r="I118" s="13">
        <f>UF_Assumptions_1!$B$28/1000000</f>
        <v>2085.3611888863684</v>
      </c>
      <c r="J118" s="13">
        <f>UF_Assumptions_1!$B$28/1000000</f>
        <v>2085.3611888863684</v>
      </c>
      <c r="K118" s="13">
        <f>UF_Assumptions_1!$B$28/1000000</f>
        <v>2085.3611888863684</v>
      </c>
      <c r="L118" s="13"/>
    </row>
    <row r="119" spans="1:12">
      <c r="A119" s="211" t="s">
        <v>276</v>
      </c>
      <c r="B119" s="17">
        <f>((UF_Calculations_2!B33-UF_Assumptions_1!$B$60)/UF_Assumptions_1!$B$63)+UF_Assumptions_1!$B$61</f>
        <v>5330.1132770442609</v>
      </c>
      <c r="C119" s="17">
        <f>((UF_Calculations_2!C33-UF_Assumptions_1!$B$60)/UF_Assumptions_1!$B$63)+UF_Assumptions_1!$B$61</f>
        <v>5582.6721098604348</v>
      </c>
      <c r="D119" s="17">
        <f>((UF_Calculations_2!D33-UF_Assumptions_1!$B$60)/UF_Assumptions_1!$B$63)+UF_Assumptions_1!$B$61</f>
        <v>5839.4732775505645</v>
      </c>
      <c r="E119" s="17">
        <f>((UF_Calculations_2!E33-UF_Assumptions_1!$B$60)/UF_Assumptions_1!$B$63)+UF_Assumptions_1!$B$61</f>
        <v>6116.1778401278252</v>
      </c>
      <c r="F119" s="17">
        <f>((UF_Calculations_2!F33-UF_Assumptions_1!$B$60)/UF_Assumptions_1!$B$63)+UF_Assumptions_1!$B$61</f>
        <v>6400.4743926080209</v>
      </c>
      <c r="G119" s="17">
        <f>((UF_Calculations_2!G33-UF_Assumptions_1!$B$60)/UF_Assumptions_1!$B$63)+UF_Assumptions_1!$B$61</f>
        <v>6695.0465692015878</v>
      </c>
      <c r="H119" s="17">
        <f>((UF_Calculations_2!H33-UF_Assumptions_1!$B$60)/UF_Assumptions_1!$B$63)+UF_Assumptions_1!$B$61</f>
        <v>6999.697710060711</v>
      </c>
      <c r="I119" s="17">
        <f>((UF_Calculations_2!I33-UF_Assumptions_1!$B$60)/UF_Assumptions_1!$B$63)+UF_Assumptions_1!$B$61</f>
        <v>7314.3896229619468</v>
      </c>
      <c r="J119" s="17">
        <f>((UF_Calculations_2!J33-UF_Assumptions_1!$B$60)/UF_Assumptions_1!$B$63)+UF_Assumptions_1!$B$61</f>
        <v>7639.4087674018856</v>
      </c>
      <c r="K119" s="17">
        <f>((UF_Calculations_2!K33-UF_Assumptions_1!$B$60)/UF_Assumptions_1!$B$63)+UF_Assumptions_1!$B$61</f>
        <v>7974.8433013006306</v>
      </c>
      <c r="L119" s="13"/>
    </row>
    <row r="120" spans="1:12">
      <c r="A120" s="8" t="s">
        <v>14</v>
      </c>
      <c r="B120" s="88">
        <f t="shared" ref="B120:K120" si="6">SUM(B105:B119)</f>
        <v>527133.12310469057</v>
      </c>
      <c r="C120" s="88">
        <f t="shared" si="6"/>
        <v>553860.3013720772</v>
      </c>
      <c r="D120" s="88">
        <f t="shared" si="6"/>
        <v>581463.43777612236</v>
      </c>
      <c r="E120" s="88">
        <f t="shared" si="6"/>
        <v>611583.05337962066</v>
      </c>
      <c r="F120" s="88">
        <f t="shared" si="6"/>
        <v>643552.77415438206</v>
      </c>
      <c r="G120" s="88">
        <f t="shared" si="6"/>
        <v>676602.32467592543</v>
      </c>
      <c r="H120" s="88">
        <f t="shared" si="6"/>
        <v>711199.54477850813</v>
      </c>
      <c r="I120" s="88">
        <f t="shared" si="6"/>
        <v>747932.57472035731</v>
      </c>
      <c r="J120" s="88">
        <f t="shared" si="6"/>
        <v>786587.40255665604</v>
      </c>
      <c r="K120" s="88">
        <f t="shared" si="6"/>
        <v>827265.54945649963</v>
      </c>
      <c r="L120" s="88"/>
    </row>
    <row r="121" spans="1:12" s="2" customFormat="1">
      <c r="A121" s="2" t="s">
        <v>224</v>
      </c>
    </row>
    <row r="122" spans="1:12">
      <c r="A122" t="s">
        <v>4</v>
      </c>
      <c r="B122" s="13">
        <f>Baseline!J22*UF_Assumptions_1!B4*UF_Assumptions_1!D4*UF_Assumptions_1!C4*UF_Assumptions_1!J4*UF_Assumptions_1!G4*UF_Assumptions_1!F4</f>
        <v>162453.2654677745</v>
      </c>
      <c r="C122" s="13">
        <f>B122*(1+UF_Assumptions_2!B3)</f>
        <v>171225.74180303433</v>
      </c>
      <c r="D122" s="13">
        <f>C122*(1+UF_Assumptions_2!C3)</f>
        <v>180300.70611859515</v>
      </c>
      <c r="E122" s="13">
        <f>D122*(1+UF_Assumptions_2!D3)</f>
        <v>190217.24495511787</v>
      </c>
      <c r="F122" s="13">
        <f>E122*(1+UF_Assumptions_2!E3)</f>
        <v>201249.84516251471</v>
      </c>
      <c r="G122" s="13">
        <f>F122*(1+UF_Assumptions_2!F3)</f>
        <v>212117.33680129051</v>
      </c>
      <c r="H122" s="13">
        <f>G122*(1+UF_Assumptions_2!G3)</f>
        <v>223571.6729885602</v>
      </c>
      <c r="I122" s="13">
        <f>H122*(1+UF_Assumptions_2!H3)</f>
        <v>235942.63889392721</v>
      </c>
      <c r="J122" s="13">
        <f>I122*(1+UF_Assumptions_2!I3)</f>
        <v>248998.13157939122</v>
      </c>
      <c r="K122" s="13">
        <f>J122*(1+UF_Assumptions_2!J3)</f>
        <v>262776.02819345088</v>
      </c>
      <c r="L122" s="13"/>
    </row>
    <row r="123" spans="1:12">
      <c r="A123" t="s">
        <v>5</v>
      </c>
      <c r="B123" s="13">
        <f>Baseline!J23*UF_Assumptions_1!B5*UF_Assumptions_1!D5*UF_Assumptions_1!C5*UF_Assumptions_1!J5*UF_Assumptions_1!G5*UF_Assumptions_1!F5</f>
        <v>119740.67145279271</v>
      </c>
      <c r="C123" s="13">
        <f>B123*(1+UF_Assumptions_2!B4)</f>
        <v>125727.70502543235</v>
      </c>
      <c r="D123" s="13">
        <f>C123*(1+UF_Assumptions_2!C4)</f>
        <v>132014.09027670397</v>
      </c>
      <c r="E123" s="13">
        <f>D123*(1+UF_Assumptions_2!D4)</f>
        <v>139010.83706136927</v>
      </c>
      <c r="F123" s="13">
        <f>E123*(1+UF_Assumptions_2!E4)</f>
        <v>145961.37891443775</v>
      </c>
      <c r="G123" s="13">
        <f>F123*(1+UF_Assumptions_2!F4)</f>
        <v>153405.40923907407</v>
      </c>
      <c r="H123" s="13">
        <f>G123*(1+UF_Assumptions_2!G4)</f>
        <v>161229.08511026684</v>
      </c>
      <c r="I123" s="13">
        <f>H123*(1+UF_Assumptions_2!H4)</f>
        <v>169398.02542252035</v>
      </c>
      <c r="J123" s="13">
        <f>I123*(1+UF_Assumptions_2!I4)</f>
        <v>177980.85871059471</v>
      </c>
      <c r="K123" s="13">
        <f>J123*(1+UF_Assumptions_2!J4)</f>
        <v>186998.55555193149</v>
      </c>
      <c r="L123" s="13"/>
    </row>
    <row r="124" spans="1:12">
      <c r="A124" t="s">
        <v>6</v>
      </c>
      <c r="B124" s="13">
        <f>Baseline!J24*UF_Assumptions_1!B6*UF_Assumptions_1!D6*UF_Assumptions_1!C6*UF_Assumptions_1!J6*UF_Assumptions_1!G6*UF_Assumptions_1!F6</f>
        <v>14324.075326181735</v>
      </c>
      <c r="C124" s="13">
        <f>B124*(1+UF_Assumptions_2!B5)</f>
        <v>15040.279092490822</v>
      </c>
      <c r="D124" s="13">
        <f>C124*(1+UF_Assumptions_2!C5)</f>
        <v>15792.293047115363</v>
      </c>
      <c r="E124" s="13">
        <f>D124*(1+UF_Assumptions_2!D5)</f>
        <v>16566.115406424015</v>
      </c>
      <c r="F124" s="13">
        <f>E124*(1+UF_Assumptions_2!E5)</f>
        <v>17377.855061338789</v>
      </c>
      <c r="G124" s="13">
        <f>F124*(1+UF_Assumptions_2!F5)</f>
        <v>18246.747814405728</v>
      </c>
      <c r="H124" s="13">
        <f>G124*(1+UF_Assumptions_2!G5)</f>
        <v>19140.838457311605</v>
      </c>
      <c r="I124" s="13">
        <f>H124*(1+UF_Assumptions_2!H5)</f>
        <v>20085.119821205644</v>
      </c>
      <c r="J124" s="13">
        <f>I124*(1+UF_Assumptions_2!I5)</f>
        <v>21075.985732385121</v>
      </c>
      <c r="K124" s="13">
        <f>J124*(1+UF_Assumptions_2!J5)</f>
        <v>22115.734361849452</v>
      </c>
      <c r="L124" s="13"/>
    </row>
    <row r="125" spans="1:12">
      <c r="A125" t="s">
        <v>7</v>
      </c>
      <c r="B125" s="13">
        <f>Baseline!J25*UF_Assumptions_1!B7*UF_Assumptions_1!D7*UF_Assumptions_1!C7*UF_Assumptions_1!J7*UF_Assumptions_1!G7*UF_Assumptions_1!F7</f>
        <v>24063.991033062659</v>
      </c>
      <c r="C125" s="13">
        <f>B125*(1+UF_Assumptions_2!B6)</f>
        <v>25002.486683352101</v>
      </c>
      <c r="D125" s="13">
        <f>C125*(1+UF_Assumptions_2!C6)</f>
        <v>25977.583664002832</v>
      </c>
      <c r="E125" s="13">
        <f>D125*(1+UF_Assumptions_2!D6)</f>
        <v>26990.709426898942</v>
      </c>
      <c r="F125" s="13">
        <f>E125*(1+UF_Assumptions_2!E6)</f>
        <v>28043.347094548</v>
      </c>
      <c r="G125" s="13">
        <f>F125*(1+UF_Assumptions_2!F6)</f>
        <v>29108.994284140826</v>
      </c>
      <c r="H125" s="13">
        <f>G125*(1+UF_Assumptions_2!G6)</f>
        <v>30215.136066938179</v>
      </c>
      <c r="I125" s="13">
        <f>H125*(1+UF_Assumptions_2!H6)</f>
        <v>31373.382949504143</v>
      </c>
      <c r="J125" s="13">
        <f>I125*(1+UF_Assumptions_2!I6)</f>
        <v>32576.029295901801</v>
      </c>
      <c r="K125" s="13">
        <f>J125*(1+UF_Assumptions_2!J6)</f>
        <v>33824.777085578033</v>
      </c>
      <c r="L125" s="13"/>
    </row>
    <row r="126" spans="1:12">
      <c r="A126" t="s">
        <v>8</v>
      </c>
      <c r="B126" s="13">
        <f>Baseline!J26*UF_Assumptions_1!B8*UF_Assumptions_1!D8*UF_Assumptions_1!C8*UF_Assumptions_1!K8*UF_Assumptions_1!J8*UF_Assumptions_1!G8*UF_Assumptions_1!F8</f>
        <v>53413.090581679266</v>
      </c>
      <c r="C126" s="13">
        <f>B126*(1+UF_Assumptions_2!B7)</f>
        <v>56190.571291926593</v>
      </c>
      <c r="D126" s="13">
        <f>C126*(1+UF_Assumptions_2!C7)</f>
        <v>58887.718713939073</v>
      </c>
      <c r="E126" s="13">
        <f>D126*(1+UF_Assumptions_2!D7)</f>
        <v>61949.88008706391</v>
      </c>
      <c r="F126" s="13">
        <f>E126*(1+UF_Assumptions_2!E7)</f>
        <v>65171.273851591235</v>
      </c>
      <c r="G126" s="13">
        <f>F126*(1+UF_Assumptions_2!F7)</f>
        <v>68560.180091873975</v>
      </c>
      <c r="H126" s="13">
        <f>G126*(1+UF_Assumptions_2!G7)</f>
        <v>72056.749276559538</v>
      </c>
      <c r="I126" s="13">
        <f>H126*(1+UF_Assumptions_2!H7)</f>
        <v>75779.681322515127</v>
      </c>
      <c r="J126" s="13">
        <f>I126*(1+UF_Assumptions_2!I7)</f>
        <v>79694.964857511746</v>
      </c>
      <c r="K126" s="13">
        <f>J126*(1+UF_Assumptions_2!J7)</f>
        <v>83812.53804181653</v>
      </c>
      <c r="L126" s="13"/>
    </row>
    <row r="127" spans="1:12">
      <c r="A127" t="s">
        <v>9</v>
      </c>
      <c r="B127" s="13">
        <f>Baseline!J27*UF_Assumptions_1!B9*UF_Assumptions_1!D9*UF_Assumptions_1!C9*UF_Assumptions_1!J9*UF_Assumptions_1!G9*UF_Assumptions_1!F9</f>
        <v>20133.782360626981</v>
      </c>
      <c r="C127" s="13">
        <f>B127*(1+UF_Assumptions_2!B8)</f>
        <v>21482.745778788987</v>
      </c>
      <c r="D127" s="13">
        <f>C127*(1+UF_Assumptions_2!C8)</f>
        <v>22879.124254410272</v>
      </c>
      <c r="E127" s="13">
        <f>D127*(1+UF_Assumptions_2!D8)</f>
        <v>24389.146455201349</v>
      </c>
      <c r="F127" s="13">
        <f>E127*(1+UF_Assumptions_2!E8)</f>
        <v>25974.440974789435</v>
      </c>
      <c r="G127" s="13">
        <f>F127*(1+UF_Assumptions_2!F8)</f>
        <v>27714.728520100325</v>
      </c>
      <c r="H127" s="13">
        <f>G127*(1+UF_Assumptions_2!G8)</f>
        <v>29571.615330947046</v>
      </c>
      <c r="I127" s="13">
        <f>H127*(1+UF_Assumptions_2!H8)</f>
        <v>31533.199147899868</v>
      </c>
      <c r="J127" s="13">
        <f>I127*(1+UF_Assumptions_2!I8)</f>
        <v>33624.901358043891</v>
      </c>
      <c r="K127" s="13">
        <f>J127*(1+UF_Assumptions_2!J8)</f>
        <v>35855.353148127469</v>
      </c>
      <c r="L127" s="13"/>
    </row>
    <row r="128" spans="1:12">
      <c r="A128" t="s">
        <v>10</v>
      </c>
      <c r="B128" s="13">
        <f>Baseline!J28*UF_Assumptions_1!B10*UF_Assumptions_1!D10*UF_Assumptions_1!C10*UF_Assumptions_1!J10*UF_Assumptions_1!G10*UF_Assumptions_1!F10</f>
        <v>18140.285607789145</v>
      </c>
      <c r="C128" s="13">
        <f>B128*(1+UF_Assumptions_2!B9)</f>
        <v>18920.317888924077</v>
      </c>
      <c r="D128" s="13">
        <f>C128*(1+UF_Assumptions_2!C9)</f>
        <v>19677.130604481041</v>
      </c>
      <c r="E128" s="13">
        <f>D128*(1+UF_Assumptions_2!D9)</f>
        <v>20464.215828660283</v>
      </c>
      <c r="F128" s="13">
        <f>E128*(1+UF_Assumptions_2!E9)</f>
        <v>21323.712893464017</v>
      </c>
      <c r="G128" s="13">
        <f>F128*(1+UF_Assumptions_2!F9)</f>
        <v>22261.956260776435</v>
      </c>
      <c r="H128" s="13">
        <f>G128*(1+UF_Assumptions_2!G9)</f>
        <v>23308.268205032924</v>
      </c>
      <c r="I128" s="13">
        <f>H128*(1+UF_Assumptions_2!H9)</f>
        <v>24341.601428789385</v>
      </c>
      <c r="J128" s="13">
        <f>I128*(1+UF_Assumptions_2!I9)</f>
        <v>25420.745758799047</v>
      </c>
      <c r="K128" s="13">
        <f>J128*(1+UF_Assumptions_2!J9)</f>
        <v>26547.732154105805</v>
      </c>
      <c r="L128" s="13"/>
    </row>
    <row r="129" spans="1:23">
      <c r="A129" t="s">
        <v>18</v>
      </c>
      <c r="B129" s="13">
        <f>Baseline!J29*UF_Assumptions_1!B11*UF_Assumptions_1!D11*UF_Assumptions_1!C11*UF_Assumptions_1!J11*UF_Assumptions_1!G11*UF_Assumptions_1!F11</f>
        <v>28600.194242264795</v>
      </c>
      <c r="C129" s="13">
        <f>B129*(1+UF_Assumptions_2!B10)</f>
        <v>30116.004537104829</v>
      </c>
      <c r="D129" s="13">
        <f>C129*(1+UF_Assumptions_2!C10)</f>
        <v>31742.268782108491</v>
      </c>
      <c r="E129" s="13">
        <f>D129*(1+UF_Assumptions_2!D10)</f>
        <v>33424.60902756024</v>
      </c>
      <c r="F129" s="13">
        <f>E129*(1+UF_Assumptions_2!E10)</f>
        <v>35262.962524076051</v>
      </c>
      <c r="G129" s="13">
        <f>F129*(1+UF_Assumptions_2!F10)</f>
        <v>37202.425462900232</v>
      </c>
      <c r="H129" s="13">
        <f>G129*(1+UF_Assumptions_2!G10)</f>
        <v>39211.356437896844</v>
      </c>
      <c r="I129" s="13">
        <f>H129*(1+UF_Assumptions_2!H10)</f>
        <v>41354.910589835206</v>
      </c>
      <c r="J129" s="13">
        <f>I129*(1+UF_Assumptions_2!I10)</f>
        <v>43615.645702079528</v>
      </c>
      <c r="K129" s="13">
        <f>J129*(1+UF_Assumptions_2!J10)</f>
        <v>45999.967667126541</v>
      </c>
      <c r="L129" s="13"/>
    </row>
    <row r="130" spans="1:23">
      <c r="A130" t="s">
        <v>16</v>
      </c>
      <c r="B130" s="13">
        <f>Baseline!J30*UF_Assumptions_1!B12*UF_Assumptions_1!D12*UF_Assumptions_1!C12*UF_Assumptions_1!J12*UF_Assumptions_1!G12*UF_Assumptions_1!F12</f>
        <v>9438.0617106060163</v>
      </c>
      <c r="C130" s="13">
        <f>B130*(1+UF_Assumptions_2!B11)</f>
        <v>9825.0222407408619</v>
      </c>
      <c r="D130" s="13">
        <f>C130*(1+UF_Assumptions_2!C11)</f>
        <v>10237.673174851978</v>
      </c>
      <c r="E130" s="13">
        <f>D130*(1+UF_Assumptions_2!D11)</f>
        <v>10667.655448195761</v>
      </c>
      <c r="F130" s="13">
        <f>E130*(1+UF_Assumptions_2!E11)</f>
        <v>11115.696977019983</v>
      </c>
      <c r="G130" s="13">
        <f>F130*(1+UF_Assumptions_2!F11)</f>
        <v>11593.671947031842</v>
      </c>
      <c r="H130" s="13">
        <f>G130*(1+UF_Assumptions_2!G11)</f>
        <v>12092.199840754211</v>
      </c>
      <c r="I130" s="13">
        <f>H130*(1+UF_Assumptions_2!H11)</f>
        <v>12608.133700626389</v>
      </c>
      <c r="J130" s="13">
        <f>I130*(1+UF_Assumptions_2!I11)</f>
        <v>13146.080738519782</v>
      </c>
      <c r="K130" s="13">
        <f>J130*(1+UF_Assumptions_2!J11)</f>
        <v>13706.980183363292</v>
      </c>
      <c r="L130" s="13"/>
    </row>
    <row r="131" spans="1:23">
      <c r="A131" t="s">
        <v>11</v>
      </c>
      <c r="B131" s="13">
        <f>Baseline!J31*UF_Assumptions_1!B13*UF_Assumptions_1!D13*UF_Assumptions_1!C13*UF_Assumptions_1!J13*UF_Assumptions_1!G13*UF_Assumptions_1!F13</f>
        <v>6035.072584392613</v>
      </c>
      <c r="C131" s="13">
        <f>B131*(1+UF_Assumptions_2!B12)</f>
        <v>6360.9665039498141</v>
      </c>
      <c r="D131" s="13">
        <f>C131*(1+UF_Assumptions_2!C12)</f>
        <v>6704.4586951631045</v>
      </c>
      <c r="E131" s="13">
        <f>D131*(1+UF_Assumptions_2!D12)</f>
        <v>7066.4994647019121</v>
      </c>
      <c r="F131" s="13">
        <f>E131*(1+UF_Assumptions_2!E12)</f>
        <v>7448.0904357958161</v>
      </c>
      <c r="G131" s="13">
        <f>F131*(1+UF_Assumptions_2!F12)</f>
        <v>7865.1835002003818</v>
      </c>
      <c r="H131" s="13">
        <f>G131*(1+UF_Assumptions_2!G12)</f>
        <v>8266.3078587106011</v>
      </c>
      <c r="I131" s="13">
        <f>H131*(1+UF_Assumptions_2!H12)</f>
        <v>8709.93304712807</v>
      </c>
      <c r="J131" s="13">
        <f>I131*(1+UF_Assumptions_2!I12)</f>
        <v>9177.3661206572779</v>
      </c>
      <c r="K131" s="13">
        <f>J131*(1+UF_Assumptions_2!J12)</f>
        <v>9669.8847691325518</v>
      </c>
      <c r="L131" s="13"/>
    </row>
    <row r="132" spans="1:23">
      <c r="A132" t="s">
        <v>13</v>
      </c>
      <c r="B132" s="13">
        <f>Baseline!J$35</f>
        <v>13015.934321462773</v>
      </c>
      <c r="C132" s="13">
        <f>Baseline!K$35</f>
        <v>13476.024721270978</v>
      </c>
      <c r="D132" s="13">
        <f>Baseline!L$35</f>
        <v>13923.220163679234</v>
      </c>
      <c r="E132" s="13">
        <f>Baseline!M$35</f>
        <v>14458.753862211928</v>
      </c>
      <c r="F132" s="13">
        <f>Baseline!N$35</f>
        <v>15047.036138730071</v>
      </c>
      <c r="G132" s="13">
        <f>Baseline!O$35</f>
        <v>15608.734786912868</v>
      </c>
      <c r="H132" s="13">
        <f>Baseline!P$35</f>
        <v>16159.948137089295</v>
      </c>
      <c r="I132" s="13">
        <f>Baseline!Q$35</f>
        <v>16766.700865673727</v>
      </c>
      <c r="J132" s="13">
        <f>Baseline!R$35</f>
        <v>17396.231249972214</v>
      </c>
      <c r="K132" s="13">
        <f>Baseline!S$35</f>
        <v>18049.393987394586</v>
      </c>
      <c r="L132" s="13"/>
    </row>
    <row r="133" spans="1:23">
      <c r="A133" t="s">
        <v>71</v>
      </c>
      <c r="B133" s="13">
        <f>Baseline!J36</f>
        <v>28791.565066927964</v>
      </c>
      <c r="C133" s="13">
        <f>B133*(1+UF_Assumptions_2!B14)</f>
        <v>30144.768625073575</v>
      </c>
      <c r="D133" s="13">
        <f>C133*(1+UF_Assumptions_2!C14)</f>
        <v>31561.572750452033</v>
      </c>
      <c r="E133" s="13">
        <f>D133*(1+UF_Assumptions_2!D14)</f>
        <v>33076.528242473731</v>
      </c>
      <c r="F133" s="13">
        <f>E133*(1+UF_Assumptions_2!E14)</f>
        <v>34664.201598112471</v>
      </c>
      <c r="G133" s="13">
        <f>F133*(1+UF_Assumptions_2!F14)</f>
        <v>36328.083274821875</v>
      </c>
      <c r="H133" s="13">
        <f>G133*(1+UF_Assumptions_2!G14)</f>
        <v>38035.503188738498</v>
      </c>
      <c r="I133" s="13">
        <f>H133*(1+UF_Assumptions_2!H14)</f>
        <v>39848.528840735038</v>
      </c>
      <c r="J133" s="13">
        <f>I133*(1+UF_Assumptions_2!I14)</f>
        <v>41747.975382143413</v>
      </c>
      <c r="K133" s="13">
        <f>J133*(1+UF_Assumptions_2!J14)</f>
        <v>43737.962208692254</v>
      </c>
      <c r="L133" s="13"/>
    </row>
    <row r="134" spans="1:23">
      <c r="A134" s="6" t="s">
        <v>166</v>
      </c>
      <c r="B134" s="13">
        <f>SUM(B122:B131)*(UF_Assumptions_1!B$19/(1-UF_Assumptions_1!B$19))</f>
        <v>29128.244065989595</v>
      </c>
      <c r="C134" s="13">
        <f>SUM(C122:C131)*(UF_Assumptions_1!C$19/(1-UF_Assumptions_1!C$19))</f>
        <v>30631.3940965369</v>
      </c>
      <c r="D134" s="13">
        <f>SUM(D122:D131)*(UF_Assumptions_1!D$19/(1-UF_Assumptions_1!D$19))</f>
        <v>32183.811531789655</v>
      </c>
      <c r="E134" s="13">
        <f>SUM(E122:E131)*(UF_Assumptions_1!E$19/(1-UF_Assumptions_1!E$19))</f>
        <v>33877.462542203837</v>
      </c>
      <c r="F134" s="13">
        <f>SUM(F122:F131)*(UF_Assumptions_1!F$19/(1-UF_Assumptions_1!F$19))</f>
        <v>35676.293865292071</v>
      </c>
      <c r="G134" s="13">
        <f>SUM(G122:G131)*(UF_Assumptions_1!G$19/(1-UF_Assumptions_1!G$19))</f>
        <v>37536.806420540059</v>
      </c>
      <c r="H134" s="13">
        <f>SUM(H122:H131)*(UF_Assumptions_1!H$19/(1-UF_Assumptions_1!H$19))</f>
        <v>39489.142313168806</v>
      </c>
      <c r="I134" s="13">
        <f>SUM(I122:I131)*(UF_Assumptions_1!I$19/(1-UF_Assumptions_1!I$19))</f>
        <v>41561.274020677753</v>
      </c>
      <c r="J134" s="13">
        <f>SUM(J122:J131)*(UF_Assumptions_1!J$19/(1-UF_Assumptions_1!J$19))</f>
        <v>43743.236799184087</v>
      </c>
      <c r="K134" s="13">
        <f>SUM(K122:K131)*(UF_Assumptions_1!K$19/(1-UF_Assumptions_1!K$19))</f>
        <v>46040.907520626512</v>
      </c>
      <c r="L134" s="56">
        <f>B134/((SUM(B122:B131)+B134))</f>
        <v>0.06</v>
      </c>
    </row>
    <row r="135" spans="1:23">
      <c r="A135" s="212" t="s">
        <v>218</v>
      </c>
      <c r="B135" s="13">
        <f>UF_Assumptions_1!$B$28*UF_Assumptions_1!$B$30/1000000</f>
        <v>1042.6805944431842</v>
      </c>
      <c r="C135" s="13">
        <f>UF_Assumptions_1!$B$28*UF_Assumptions_1!$B$30/1000000</f>
        <v>1042.6805944431842</v>
      </c>
      <c r="D135" s="13">
        <f>UF_Assumptions_1!$B$28*UF_Assumptions_1!$B$30/1000000</f>
        <v>1042.6805944431842</v>
      </c>
      <c r="E135" s="13">
        <f>UF_Assumptions_1!$B$28*UF_Assumptions_1!$B$30/1000000</f>
        <v>1042.6805944431842</v>
      </c>
      <c r="F135" s="13">
        <f>UF_Assumptions_1!$B$28*UF_Assumptions_1!$B$30/1000000</f>
        <v>1042.6805944431842</v>
      </c>
      <c r="G135" s="13">
        <f>UF_Assumptions_1!$B$28*UF_Assumptions_1!$B$30/1000000</f>
        <v>1042.6805944431842</v>
      </c>
      <c r="H135" s="13">
        <f>UF_Assumptions_1!$B$28*UF_Assumptions_1!$B$30/1000000</f>
        <v>1042.6805944431842</v>
      </c>
      <c r="I135" s="13">
        <f>UF_Assumptions_1!$B$28*UF_Assumptions_1!$B$30/1000000</f>
        <v>1042.6805944431842</v>
      </c>
      <c r="J135" s="13">
        <f>UF_Assumptions_1!$B$28*UF_Assumptions_1!$B$30/1000000</f>
        <v>1042.6805944431842</v>
      </c>
      <c r="K135" s="13">
        <f>UF_Assumptions_1!$B$28*UF_Assumptions_1!$B$30/1000000</f>
        <v>1042.6805944431842</v>
      </c>
      <c r="L135" s="13"/>
    </row>
    <row r="136" spans="1:23">
      <c r="A136" s="211" t="s">
        <v>276</v>
      </c>
      <c r="B136" s="17">
        <f>((UF_Calculations_2!B89-UF_Assumptions_1!$B$60)/UF_Assumptions_1!$B$63)+UF_Assumptions_1!$B$61</f>
        <v>3935.0659708904977</v>
      </c>
      <c r="C136" s="17">
        <f>((UF_Calculations_2!C89-UF_Assumptions_1!$B$60)/UF_Assumptions_1!$B$63)+UF_Assumptions_1!$B$61</f>
        <v>4126.9943639338635</v>
      </c>
      <c r="D136" s="17">
        <f>((UF_Calculations_2!D89-UF_Assumptions_1!$B$60)/UF_Assumptions_1!$B$63)+UF_Assumptions_1!$B$61</f>
        <v>4324.8185357152688</v>
      </c>
      <c r="E136" s="17">
        <f>((UF_Calculations_2!E89-UF_Assumptions_1!$B$60)/UF_Assumptions_1!$B$63)+UF_Assumptions_1!$B$61</f>
        <v>4538.3885920157845</v>
      </c>
      <c r="F136" s="17">
        <f>((UF_Calculations_2!F89-UF_Assumptions_1!$B$60)/UF_Assumptions_1!$B$63)+UF_Assumptions_1!$B$61</f>
        <v>4758.2412477214166</v>
      </c>
      <c r="G136" s="17">
        <f>((UF_Calculations_2!G89-UF_Assumptions_1!$B$60)/UF_Assumptions_1!$B$63)+UF_Assumptions_1!$B$61</f>
        <v>4986.1042980908232</v>
      </c>
      <c r="H136" s="17">
        <f>((UF_Calculations_2!H89-UF_Assumptions_1!$B$60)/UF_Assumptions_1!$B$63)+UF_Assumptions_1!$B$61</f>
        <v>5221.9361351338293</v>
      </c>
      <c r="I136" s="17">
        <f>((UF_Calculations_2!I89-UF_Assumptions_1!$B$60)/UF_Assumptions_1!$B$63)+UF_Assumptions_1!$B$61</f>
        <v>5465.7637981826847</v>
      </c>
      <c r="J136" s="17">
        <f>((UF_Calculations_2!J89-UF_Assumptions_1!$B$60)/UF_Assumptions_1!$B$63)+UF_Assumptions_1!$B$61</f>
        <v>5717.8005472364903</v>
      </c>
      <c r="K136" s="17">
        <f>((UF_Calculations_2!K89-UF_Assumptions_1!$B$60)/UF_Assumptions_1!$B$63)+UF_Assumptions_1!$B$61</f>
        <v>5978.1418087803177</v>
      </c>
      <c r="L136" s="13"/>
    </row>
    <row r="137" spans="1:23">
      <c r="A137" s="8" t="s">
        <v>14</v>
      </c>
      <c r="B137" s="88">
        <f t="shared" ref="B137:K137" si="7">SUM(B122:B136)</f>
        <v>532255.98038688442</v>
      </c>
      <c r="C137" s="88">
        <f t="shared" si="7"/>
        <v>559313.70324700337</v>
      </c>
      <c r="D137" s="88">
        <f t="shared" si="7"/>
        <v>587249.15090745059</v>
      </c>
      <c r="E137" s="88">
        <f t="shared" si="7"/>
        <v>617740.72699454206</v>
      </c>
      <c r="F137" s="88">
        <f t="shared" si="7"/>
        <v>650117.0573338751</v>
      </c>
      <c r="G137" s="88">
        <f t="shared" si="7"/>
        <v>683579.04329660314</v>
      </c>
      <c r="H137" s="88">
        <f t="shared" si="7"/>
        <v>718612.43994155165</v>
      </c>
      <c r="I137" s="88">
        <f t="shared" si="7"/>
        <v>755811.57444366405</v>
      </c>
      <c r="J137" s="88">
        <f t="shared" si="7"/>
        <v>794958.63442686351</v>
      </c>
      <c r="K137" s="88">
        <f t="shared" si="7"/>
        <v>836156.63727641897</v>
      </c>
      <c r="L137" s="88"/>
    </row>
    <row r="138" spans="1:23" s="2" customFormat="1">
      <c r="A138" s="2" t="s">
        <v>298</v>
      </c>
    </row>
    <row r="139" spans="1:23">
      <c r="A139" t="s">
        <v>4</v>
      </c>
      <c r="B139" s="13">
        <f>B71</f>
        <v>163701.34411711179</v>
      </c>
      <c r="C139" s="13">
        <f t="shared" ref="C139:K139" si="8">C71</f>
        <v>170904.20325826472</v>
      </c>
      <c r="D139" s="13">
        <f t="shared" si="8"/>
        <v>178765.79660814491</v>
      </c>
      <c r="E139" s="13">
        <f t="shared" si="8"/>
        <v>186810.25745551143</v>
      </c>
      <c r="F139" s="13">
        <f t="shared" si="8"/>
        <v>195029.90878355392</v>
      </c>
      <c r="G139" s="13">
        <f t="shared" si="8"/>
        <v>203611.2247700303</v>
      </c>
      <c r="H139" s="13">
        <f t="shared" si="8"/>
        <v>212570.11865991165</v>
      </c>
      <c r="I139" s="13">
        <f t="shared" si="8"/>
        <v>222135.77399960766</v>
      </c>
      <c r="J139" s="13">
        <f t="shared" si="8"/>
        <v>232131.88382958999</v>
      </c>
      <c r="K139" s="13">
        <f t="shared" si="8"/>
        <v>242577.81860192152</v>
      </c>
      <c r="L139" s="269"/>
      <c r="M139" s="13"/>
      <c r="N139" s="269"/>
      <c r="O139" s="269"/>
      <c r="P139" s="269"/>
      <c r="Q139" s="269"/>
      <c r="R139" s="269"/>
      <c r="S139" s="269"/>
      <c r="T139" s="269"/>
      <c r="U139" s="269"/>
      <c r="V139" s="269"/>
      <c r="W139" s="269"/>
    </row>
    <row r="140" spans="1:23">
      <c r="A140" t="s">
        <v>5</v>
      </c>
      <c r="B140" s="13">
        <f t="shared" ref="B140:K140" si="9">B72</f>
        <v>123004.95380599918</v>
      </c>
      <c r="C140" s="13">
        <f t="shared" si="9"/>
        <v>128417.17177346314</v>
      </c>
      <c r="D140" s="13">
        <f t="shared" si="9"/>
        <v>134324.36167504246</v>
      </c>
      <c r="E140" s="13">
        <f t="shared" si="9"/>
        <v>140368.95795041937</v>
      </c>
      <c r="F140" s="13">
        <f t="shared" si="9"/>
        <v>146545.19210023782</v>
      </c>
      <c r="G140" s="13">
        <f t="shared" si="9"/>
        <v>152993.18055264829</v>
      </c>
      <c r="H140" s="13">
        <f t="shared" si="9"/>
        <v>159724.88049696482</v>
      </c>
      <c r="I140" s="13">
        <f t="shared" si="9"/>
        <v>166912.50011932824</v>
      </c>
      <c r="J140" s="13">
        <f t="shared" si="9"/>
        <v>174423.56262469801</v>
      </c>
      <c r="K140" s="13">
        <f t="shared" si="9"/>
        <v>182272.62294280939</v>
      </c>
      <c r="L140" s="13"/>
      <c r="M140" s="13"/>
    </row>
    <row r="141" spans="1:23">
      <c r="A141" t="s">
        <v>6</v>
      </c>
      <c r="B141" s="17">
        <f t="shared" ref="B141:K141" si="10">B73</f>
        <v>14846.36606553379</v>
      </c>
      <c r="C141" s="13">
        <f t="shared" si="10"/>
        <v>15499.606172417278</v>
      </c>
      <c r="D141" s="13">
        <f t="shared" si="10"/>
        <v>16212.588056348473</v>
      </c>
      <c r="E141" s="13">
        <f t="shared" si="10"/>
        <v>16942.154518884152</v>
      </c>
      <c r="F141" s="13">
        <f t="shared" si="10"/>
        <v>17687.609317715054</v>
      </c>
      <c r="G141" s="13">
        <f t="shared" si="10"/>
        <v>18465.864127694516</v>
      </c>
      <c r="H141" s="13">
        <f t="shared" si="10"/>
        <v>19278.362149313074</v>
      </c>
      <c r="I141" s="13">
        <f t="shared" si="10"/>
        <v>20145.888446032161</v>
      </c>
      <c r="J141" s="13">
        <f t="shared" si="10"/>
        <v>21052.453426103606</v>
      </c>
      <c r="K141" s="13">
        <f t="shared" si="10"/>
        <v>21999.813830278268</v>
      </c>
      <c r="L141" s="13"/>
      <c r="M141" s="13"/>
    </row>
    <row r="142" spans="1:23">
      <c r="A142" t="s">
        <v>7</v>
      </c>
      <c r="B142" s="17">
        <f t="shared" ref="B142:J142" si="11">B74</f>
        <v>24941.422865988508</v>
      </c>
      <c r="C142" s="13">
        <f t="shared" si="11"/>
        <v>26038.845472092005</v>
      </c>
      <c r="D142" s="13">
        <f t="shared" si="11"/>
        <v>27236.632363808239</v>
      </c>
      <c r="E142" s="13">
        <f t="shared" si="11"/>
        <v>28462.280820179607</v>
      </c>
      <c r="F142" s="13">
        <f t="shared" si="11"/>
        <v>29714.621176267512</v>
      </c>
      <c r="G142" s="13">
        <f t="shared" si="11"/>
        <v>31022.064508023283</v>
      </c>
      <c r="H142" s="13">
        <f t="shared" si="11"/>
        <v>32387.035346376309</v>
      </c>
      <c r="I142" s="13">
        <f t="shared" si="11"/>
        <v>33844.45193696324</v>
      </c>
      <c r="J142" s="13">
        <f t="shared" si="11"/>
        <v>35367.452274126583</v>
      </c>
      <c r="K142" s="13">
        <f>K74</f>
        <v>36958.98762646228</v>
      </c>
      <c r="L142" s="13"/>
      <c r="M142" s="13"/>
    </row>
    <row r="143" spans="1:23">
      <c r="A143" t="s">
        <v>8</v>
      </c>
      <c r="B143" s="17">
        <f>Baseline!J26*UF_Assumptions_1!B8*UF_Assumptions_1!D8*UF_Assumptions_1!H8*UF_Assumptions_1!C8*UF_Assumptions_1!K8*UF_Assumptions_1!I8*UF_Assumptions_1!G8*UF_Assumptions_1!F8</f>
        <v>52286.231772280262</v>
      </c>
      <c r="C143" s="17">
        <f>B143*(1+UF_Assumptions_2!B20)</f>
        <v>54586.825970260594</v>
      </c>
      <c r="D143" s="17">
        <f>C143*(1+UF_Assumptions_2!C20)</f>
        <v>57097.81996489258</v>
      </c>
      <c r="E143" s="17">
        <f>D143*(1+UF_Assumptions_2!D20)</f>
        <v>59667.221863312741</v>
      </c>
      <c r="F143" s="17">
        <f>E143*(1+UF_Assumptions_2!E20)</f>
        <v>62292.579625298502</v>
      </c>
      <c r="G143" s="17">
        <f>F143*(1+UF_Assumptions_2!F20)</f>
        <v>65033.453128811641</v>
      </c>
      <c r="H143" s="17">
        <f>G143*(1+UF_Assumptions_2!G20)</f>
        <v>67894.925066479351</v>
      </c>
      <c r="I143" s="17">
        <f>H143*(1+UF_Assumptions_2!H20)</f>
        <v>70950.196694470913</v>
      </c>
      <c r="J143" s="17">
        <f>I143*(1+UF_Assumptions_2!I20)</f>
        <v>74142.955545722099</v>
      </c>
      <c r="K143" s="17">
        <f>J143*(1+UF_Assumptions_2!J20)</f>
        <v>77479.388545279595</v>
      </c>
      <c r="L143" s="13"/>
      <c r="M143" s="13"/>
    </row>
    <row r="144" spans="1:23">
      <c r="A144" t="s">
        <v>9</v>
      </c>
      <c r="B144" s="17">
        <f t="shared" ref="B144:K144" si="12">B76</f>
        <v>20867.90919503873</v>
      </c>
      <c r="C144" s="13">
        <f t="shared" si="12"/>
        <v>21786.097199620435</v>
      </c>
      <c r="D144" s="13">
        <f t="shared" si="12"/>
        <v>22788.257670802977</v>
      </c>
      <c r="E144" s="13">
        <f t="shared" si="12"/>
        <v>23813.72926598911</v>
      </c>
      <c r="F144" s="13">
        <f t="shared" si="12"/>
        <v>24861.53335369263</v>
      </c>
      <c r="G144" s="13">
        <f t="shared" si="12"/>
        <v>25955.440821255106</v>
      </c>
      <c r="H144" s="13">
        <f t="shared" si="12"/>
        <v>27097.480217390334</v>
      </c>
      <c r="I144" s="13">
        <f t="shared" si="12"/>
        <v>28316.866827172897</v>
      </c>
      <c r="J144" s="13">
        <f t="shared" si="12"/>
        <v>29591.125834395676</v>
      </c>
      <c r="K144" s="13">
        <f t="shared" si="12"/>
        <v>30922.72649694348</v>
      </c>
      <c r="L144" s="13"/>
      <c r="M144" s="13"/>
    </row>
    <row r="145" spans="1:13">
      <c r="A145" t="s">
        <v>10</v>
      </c>
      <c r="B145" s="17">
        <f t="shared" ref="B145:K145" si="13">B77</f>
        <v>17757.579038677741</v>
      </c>
      <c r="C145" s="13">
        <f t="shared" si="13"/>
        <v>18538.912516379562</v>
      </c>
      <c r="D145" s="13">
        <f t="shared" si="13"/>
        <v>19391.702492133023</v>
      </c>
      <c r="E145" s="13">
        <f t="shared" si="13"/>
        <v>20264.329104279008</v>
      </c>
      <c r="F145" s="13">
        <f t="shared" si="13"/>
        <v>21155.959584867283</v>
      </c>
      <c r="G145" s="13">
        <f t="shared" si="13"/>
        <v>22086.821806601445</v>
      </c>
      <c r="H145" s="13">
        <f t="shared" si="13"/>
        <v>23058.641966091909</v>
      </c>
      <c r="I145" s="13">
        <f t="shared" si="13"/>
        <v>24096.280854566045</v>
      </c>
      <c r="J145" s="13">
        <f t="shared" si="13"/>
        <v>25180.613493021516</v>
      </c>
      <c r="K145" s="13">
        <f t="shared" si="13"/>
        <v>26313.74110020748</v>
      </c>
      <c r="L145" s="13"/>
      <c r="M145" s="13"/>
    </row>
    <row r="146" spans="1:13">
      <c r="A146" t="s">
        <v>18</v>
      </c>
      <c r="B146" s="17">
        <f t="shared" ref="B146:K146" si="14">B78</f>
        <v>30129.715383992829</v>
      </c>
      <c r="C146" s="13">
        <f t="shared" si="14"/>
        <v>31455.422860888513</v>
      </c>
      <c r="D146" s="13">
        <f t="shared" si="14"/>
        <v>32902.372312489388</v>
      </c>
      <c r="E146" s="13">
        <f t="shared" si="14"/>
        <v>34382.979066551408</v>
      </c>
      <c r="F146" s="13">
        <f t="shared" si="14"/>
        <v>35895.830145479675</v>
      </c>
      <c r="G146" s="13">
        <f t="shared" si="14"/>
        <v>37475.246671880785</v>
      </c>
      <c r="H146" s="13">
        <f t="shared" si="14"/>
        <v>39124.157525443537</v>
      </c>
      <c r="I146" s="13">
        <f t="shared" si="14"/>
        <v>40884.744614088493</v>
      </c>
      <c r="J146" s="13">
        <f t="shared" si="14"/>
        <v>42724.558121722475</v>
      </c>
      <c r="K146" s="13">
        <f t="shared" si="14"/>
        <v>44647.16323719998</v>
      </c>
      <c r="L146" s="13"/>
      <c r="M146" s="13"/>
    </row>
    <row r="147" spans="1:13">
      <c r="A147" t="s">
        <v>16</v>
      </c>
      <c r="B147" s="17">
        <f t="shared" ref="B147:K147" si="15">B79</f>
        <v>9782.1964709051808</v>
      </c>
      <c r="C147" s="13">
        <f t="shared" si="15"/>
        <v>10212.613115625009</v>
      </c>
      <c r="D147" s="13">
        <f t="shared" si="15"/>
        <v>10682.393318943759</v>
      </c>
      <c r="E147" s="13">
        <f t="shared" si="15"/>
        <v>11163.101018296227</v>
      </c>
      <c r="F147" s="13">
        <f t="shared" si="15"/>
        <v>11654.277463101262</v>
      </c>
      <c r="G147" s="13">
        <f t="shared" si="15"/>
        <v>12167.065671477718</v>
      </c>
      <c r="H147" s="13">
        <f t="shared" si="15"/>
        <v>12702.416561022737</v>
      </c>
      <c r="I147" s="13">
        <f t="shared" si="15"/>
        <v>13274.025306268759</v>
      </c>
      <c r="J147" s="13">
        <f t="shared" si="15"/>
        <v>13871.356445050853</v>
      </c>
      <c r="K147" s="13">
        <f t="shared" si="15"/>
        <v>14495.56748507814</v>
      </c>
      <c r="L147" s="13"/>
      <c r="M147" s="13"/>
    </row>
    <row r="148" spans="1:13">
      <c r="A148" t="s">
        <v>11</v>
      </c>
      <c r="B148" s="17">
        <f t="shared" ref="B148:K148" si="16">B80</f>
        <v>6255.1260573301888</v>
      </c>
      <c r="C148" s="13">
        <f t="shared" si="16"/>
        <v>6530.3516038527177</v>
      </c>
      <c r="D148" s="13">
        <f t="shared" si="16"/>
        <v>6830.7477776299429</v>
      </c>
      <c r="E148" s="13">
        <f t="shared" si="16"/>
        <v>7138.1314276232897</v>
      </c>
      <c r="F148" s="13">
        <f t="shared" si="16"/>
        <v>7452.2092104387148</v>
      </c>
      <c r="G148" s="13">
        <f t="shared" si="16"/>
        <v>7780.1064156980183</v>
      </c>
      <c r="H148" s="13">
        <f t="shared" si="16"/>
        <v>8122.4310979887314</v>
      </c>
      <c r="I148" s="13">
        <f t="shared" si="16"/>
        <v>8487.9404973982237</v>
      </c>
      <c r="J148" s="13">
        <f t="shared" si="16"/>
        <v>8869.897819781143</v>
      </c>
      <c r="K148" s="13">
        <f t="shared" si="16"/>
        <v>9269.0432216712943</v>
      </c>
      <c r="L148" s="13"/>
      <c r="M148" s="13"/>
    </row>
    <row r="149" spans="1:13">
      <c r="A149" t="s">
        <v>13</v>
      </c>
      <c r="B149" s="17">
        <f t="shared" ref="B149:K149" si="17">B81</f>
        <v>13015.934321462773</v>
      </c>
      <c r="C149" s="13">
        <f t="shared" si="17"/>
        <v>13476.024721270978</v>
      </c>
      <c r="D149" s="13">
        <f t="shared" si="17"/>
        <v>13923.220163679234</v>
      </c>
      <c r="E149" s="13">
        <f t="shared" si="17"/>
        <v>14458.753862211928</v>
      </c>
      <c r="F149" s="13">
        <f t="shared" si="17"/>
        <v>15047.036138730071</v>
      </c>
      <c r="G149" s="13">
        <f t="shared" si="17"/>
        <v>15608.734786912868</v>
      </c>
      <c r="H149" s="13">
        <f t="shared" si="17"/>
        <v>16159.948137089295</v>
      </c>
      <c r="I149" s="13">
        <f t="shared" si="17"/>
        <v>16766.700865673727</v>
      </c>
      <c r="J149" s="13">
        <f t="shared" si="17"/>
        <v>17396.231249972214</v>
      </c>
      <c r="K149" s="13">
        <f t="shared" si="17"/>
        <v>18049.393987394586</v>
      </c>
      <c r="L149" s="13"/>
      <c r="M149" s="13"/>
    </row>
    <row r="150" spans="1:13">
      <c r="A150" t="s">
        <v>71</v>
      </c>
      <c r="B150" s="17">
        <f>Baseline!J36</f>
        <v>28791.565066927964</v>
      </c>
      <c r="C150" s="13">
        <f t="shared" ref="C150:K150" si="18">C82</f>
        <v>30058.393929872796</v>
      </c>
      <c r="D150" s="13">
        <f t="shared" si="18"/>
        <v>31441.080050646946</v>
      </c>
      <c r="E150" s="13">
        <f t="shared" si="18"/>
        <v>32855.928652926057</v>
      </c>
      <c r="F150" s="13">
        <f t="shared" si="18"/>
        <v>34301.589513654806</v>
      </c>
      <c r="G150" s="13">
        <f t="shared" si="18"/>
        <v>35810.859452255616</v>
      </c>
      <c r="H150" s="13">
        <f t="shared" si="18"/>
        <v>37386.537268154862</v>
      </c>
      <c r="I150" s="13">
        <f t="shared" si="18"/>
        <v>39068.931445221824</v>
      </c>
      <c r="J150" s="13">
        <f t="shared" si="18"/>
        <v>40827.033360256806</v>
      </c>
      <c r="K150" s="13">
        <f t="shared" si="18"/>
        <v>42664.249861468357</v>
      </c>
      <c r="L150" s="13"/>
      <c r="M150" s="13"/>
    </row>
    <row r="151" spans="1:13">
      <c r="A151" s="6" t="s">
        <v>166</v>
      </c>
      <c r="B151" s="13">
        <f>SUM(B139:B148)*(UF_Assumptions_1!B$18/(1-UF_Assumptions_1!B$18))</f>
        <v>14337.304477511076</v>
      </c>
      <c r="C151" s="13">
        <f>SUM(C139:C148)*(UF_Assumptions_1!C$18/(1-UF_Assumptions_1!C$18))</f>
        <v>14968.145874521566</v>
      </c>
      <c r="D151" s="13">
        <f>SUM(D139:D148)*(UF_Assumptions_1!D$18/(1-UF_Assumptions_1!D$18))</f>
        <v>15656.68058474956</v>
      </c>
      <c r="E151" s="13">
        <f>SUM(E139:E148)*(UF_Assumptions_1!E$18/(1-UF_Assumptions_1!E$18))</f>
        <v>16361.23121106329</v>
      </c>
      <c r="F151" s="13">
        <f>SUM(F139:F148)*(UF_Assumptions_1!F$18/(1-UF_Assumptions_1!F$18))</f>
        <v>17081.125384350078</v>
      </c>
      <c r="G151" s="13">
        <f>SUM(G139:G148)*(UF_Assumptions_1!G$18/(1-UF_Assumptions_1!G$18))</f>
        <v>17832.694901261479</v>
      </c>
      <c r="H151" s="13">
        <f>SUM(H139:H148)*(UF_Assumptions_1!H$18/(1-UF_Assumptions_1!H$18))</f>
        <v>18617.333476916985</v>
      </c>
      <c r="I151" s="13">
        <f>SUM(I139:I148)*(UF_Assumptions_1!I$18/(1-UF_Assumptions_1!I$18))</f>
        <v>19455.113483378249</v>
      </c>
      <c r="J151" s="13">
        <f>SUM(J139:J148)*(UF_Assumptions_1!J$18/(1-UF_Assumptions_1!J$18))</f>
        <v>20330.593590130258</v>
      </c>
      <c r="K151" s="13">
        <f>SUM(K139:K148)*(UF_Assumptions_1!K$18/(1-UF_Assumptions_1!K$18))</f>
        <v>21245.470301686128</v>
      </c>
      <c r="L151" s="56">
        <f>B151/((SUM(B139:B148)+B151))</f>
        <v>3.0000000000000002E-2</v>
      </c>
      <c r="M151" s="13"/>
    </row>
    <row r="152" spans="1:13">
      <c r="A152" s="212" t="s">
        <v>218</v>
      </c>
      <c r="B152" s="13">
        <f>UF_Assumptions_1!$B$28/1000000</f>
        <v>2085.3611888863684</v>
      </c>
      <c r="C152" s="13">
        <f>UF_Assumptions_1!$B$28/1000000</f>
        <v>2085.3611888863684</v>
      </c>
      <c r="D152" s="13">
        <f>UF_Assumptions_1!$B$28/1000000</f>
        <v>2085.3611888863684</v>
      </c>
      <c r="E152" s="13">
        <f>UF_Assumptions_1!$B$28/1000000</f>
        <v>2085.3611888863684</v>
      </c>
      <c r="F152" s="13">
        <f>UF_Assumptions_1!$B$28/1000000</f>
        <v>2085.3611888863684</v>
      </c>
      <c r="G152" s="13">
        <f>UF_Assumptions_1!$B$28/1000000</f>
        <v>2085.3611888863684</v>
      </c>
      <c r="H152" s="13">
        <f>UF_Assumptions_1!$B$28/1000000</f>
        <v>2085.3611888863684</v>
      </c>
      <c r="I152" s="13">
        <f>UF_Assumptions_1!$B$28/1000000</f>
        <v>2085.3611888863684</v>
      </c>
      <c r="J152" s="13">
        <f>UF_Assumptions_1!$B$28/1000000</f>
        <v>2085.3611888863684</v>
      </c>
      <c r="K152" s="13">
        <f>UF_Assumptions_1!$B$28/1000000</f>
        <v>2085.3611888863684</v>
      </c>
      <c r="L152" s="13"/>
      <c r="M152" s="13"/>
    </row>
    <row r="153" spans="1:13">
      <c r="A153" s="211" t="s">
        <v>276</v>
      </c>
      <c r="B153" s="17">
        <f>((UF_Calculations_2!B40-UF_Assumptions_1!$B$60)/UF_Assumptions_1!$B$63)+UF_Assumptions_1!$B$61</f>
        <v>5330.1132770442609</v>
      </c>
      <c r="C153" s="17">
        <f>((UF_Calculations_2!C40-UF_Assumptions_1!$B$60)/UF_Assumptions_1!$B$63)+UF_Assumptions_1!$B$61</f>
        <v>5506.552242045861</v>
      </c>
      <c r="D153" s="17">
        <f>((UF_Calculations_2!D40-UF_Assumptions_1!$B$60)/UF_Assumptions_1!$B$63)+UF_Assumptions_1!$B$61</f>
        <v>5712.075687240942</v>
      </c>
      <c r="E153" s="17">
        <f>((UF_Calculations_2!E40-UF_Assumptions_1!$B$60)/UF_Assumptions_1!$B$63)+UF_Assumptions_1!$B$61</f>
        <v>5902.8047756031974</v>
      </c>
      <c r="F153" s="17">
        <f>((UF_Calculations_2!F40-UF_Assumptions_1!$B$60)/UF_Assumptions_1!$B$63)+UF_Assumptions_1!$B$61</f>
        <v>6077.6056308944699</v>
      </c>
      <c r="G153" s="17">
        <f>((UF_Calculations_2!G40-UF_Assumptions_1!$B$60)/UF_Assumptions_1!$B$63)+UF_Assumptions_1!$B$61</f>
        <v>6263.7425656943451</v>
      </c>
      <c r="H153" s="17">
        <f>((UF_Calculations_2!H40-UF_Assumptions_1!$B$60)/UF_Assumptions_1!$B$63)+UF_Assumptions_1!$B$61</f>
        <v>6452.5690717433672</v>
      </c>
      <c r="I153" s="17">
        <f>((UF_Calculations_2!I40-UF_Assumptions_1!$B$60)/UF_Assumptions_1!$B$63)+UF_Assumptions_1!$B$61</f>
        <v>6647.1972102670579</v>
      </c>
      <c r="J153" s="17">
        <f>((UF_Calculations_2!J40-UF_Assumptions_1!$B$60)/UF_Assumptions_1!$B$63)+UF_Assumptions_1!$B$61</f>
        <v>6841.4444262397956</v>
      </c>
      <c r="K153" s="17">
        <f>((UF_Calculations_2!K40-UF_Assumptions_1!$B$60)/UF_Assumptions_1!$B$63)+UF_Assumptions_1!$B$61</f>
        <v>7034.6234214260548</v>
      </c>
      <c r="L153" s="13"/>
      <c r="M153" s="17"/>
    </row>
    <row r="154" spans="1:13">
      <c r="A154" s="8" t="s">
        <v>14</v>
      </c>
      <c r="B154" s="88">
        <f t="shared" ref="B154:K154" si="19">SUM(B139:B153)</f>
        <v>527133.12310469057</v>
      </c>
      <c r="C154" s="88">
        <f t="shared" si="19"/>
        <v>550064.52789946145</v>
      </c>
      <c r="D154" s="88">
        <f t="shared" si="19"/>
        <v>575051.08991543867</v>
      </c>
      <c r="E154" s="88">
        <f t="shared" si="19"/>
        <v>600677.22218173731</v>
      </c>
      <c r="F154" s="88">
        <f t="shared" si="19"/>
        <v>626882.43861716823</v>
      </c>
      <c r="G154" s="88">
        <f t="shared" si="19"/>
        <v>654191.86136913183</v>
      </c>
      <c r="H154" s="88">
        <f t="shared" si="19"/>
        <v>682662.19822977344</v>
      </c>
      <c r="I154" s="88">
        <f t="shared" si="19"/>
        <v>713071.97348932386</v>
      </c>
      <c r="J154" s="88">
        <f t="shared" si="19"/>
        <v>744836.52322969714</v>
      </c>
      <c r="K154" s="88">
        <f t="shared" si="19"/>
        <v>778015.97184871288</v>
      </c>
      <c r="L154" s="88"/>
    </row>
    <row r="155" spans="1:13" s="2" customFormat="1">
      <c r="A155" s="2" t="s">
        <v>299</v>
      </c>
    </row>
    <row r="156" spans="1:13">
      <c r="A156" t="s">
        <v>4</v>
      </c>
      <c r="B156" s="13">
        <f>B88</f>
        <v>162453.2654677745</v>
      </c>
      <c r="C156" s="13">
        <f t="shared" ref="C156:K156" si="20">C88</f>
        <v>169601.20914835657</v>
      </c>
      <c r="D156" s="13">
        <f t="shared" si="20"/>
        <v>177402.86476918097</v>
      </c>
      <c r="E156" s="13">
        <f t="shared" si="20"/>
        <v>185385.99368379411</v>
      </c>
      <c r="F156" s="13">
        <f t="shared" si="20"/>
        <v>193542.97740588104</v>
      </c>
      <c r="G156" s="13">
        <f t="shared" si="20"/>
        <v>202058.86841173982</v>
      </c>
      <c r="H156" s="13">
        <f t="shared" si="20"/>
        <v>210949.45862185638</v>
      </c>
      <c r="I156" s="13">
        <f t="shared" si="20"/>
        <v>220442.18425983991</v>
      </c>
      <c r="J156" s="13">
        <f t="shared" si="20"/>
        <v>230362.08255153269</v>
      </c>
      <c r="K156" s="13">
        <f t="shared" si="20"/>
        <v>240728.37626635164</v>
      </c>
      <c r="L156" s="13"/>
      <c r="M156" s="13"/>
    </row>
    <row r="157" spans="1:13">
      <c r="A157" t="s">
        <v>5</v>
      </c>
      <c r="B157" s="13">
        <f t="shared" ref="B157:K165" si="21">B89</f>
        <v>119740.67145279271</v>
      </c>
      <c r="C157" s="13">
        <f t="shared" si="21"/>
        <v>125009.26099671559</v>
      </c>
      <c r="D157" s="13">
        <f t="shared" si="21"/>
        <v>130759.6870025645</v>
      </c>
      <c r="E157" s="13">
        <f t="shared" si="21"/>
        <v>136643.8729176799</v>
      </c>
      <c r="F157" s="13">
        <f t="shared" si="21"/>
        <v>142656.20332605782</v>
      </c>
      <c r="G157" s="13">
        <f t="shared" si="21"/>
        <v>148933.07627240437</v>
      </c>
      <c r="H157" s="13">
        <f t="shared" si="21"/>
        <v>155486.13162839017</v>
      </c>
      <c r="I157" s="13">
        <f t="shared" si="21"/>
        <v>162483.00755166772</v>
      </c>
      <c r="J157" s="13">
        <f t="shared" si="21"/>
        <v>169794.74289149276</v>
      </c>
      <c r="K157" s="13">
        <f t="shared" si="21"/>
        <v>177435.50632160992</v>
      </c>
      <c r="L157" s="13"/>
      <c r="M157" s="13"/>
    </row>
    <row r="158" spans="1:13">
      <c r="A158" t="s">
        <v>6</v>
      </c>
      <c r="B158" s="13">
        <f t="shared" si="21"/>
        <v>14324.075326181735</v>
      </c>
      <c r="C158" s="13">
        <f t="shared" si="21"/>
        <v>14954.334640533732</v>
      </c>
      <c r="D158" s="13">
        <f t="shared" si="21"/>
        <v>15642.234033998284</v>
      </c>
      <c r="E158" s="13">
        <f t="shared" si="21"/>
        <v>16346.134565528206</v>
      </c>
      <c r="F158" s="13">
        <f t="shared" si="21"/>
        <v>17065.364486411447</v>
      </c>
      <c r="G158" s="13">
        <f t="shared" si="21"/>
        <v>17816.240523813551</v>
      </c>
      <c r="H158" s="13">
        <f t="shared" si="21"/>
        <v>18600.155106861348</v>
      </c>
      <c r="I158" s="13">
        <f t="shared" si="21"/>
        <v>19437.162086670109</v>
      </c>
      <c r="J158" s="13">
        <f t="shared" si="21"/>
        <v>20311.834380570261</v>
      </c>
      <c r="K158" s="13">
        <f t="shared" si="21"/>
        <v>21225.866927695923</v>
      </c>
      <c r="L158" s="13"/>
      <c r="M158" s="13"/>
    </row>
    <row r="159" spans="1:13">
      <c r="A159" t="s">
        <v>7</v>
      </c>
      <c r="B159" s="13">
        <f t="shared" si="21"/>
        <v>24063.991033062659</v>
      </c>
      <c r="C159" s="13">
        <f t="shared" si="21"/>
        <v>25122.806638517417</v>
      </c>
      <c r="D159" s="13">
        <f t="shared" si="21"/>
        <v>26278.455743889219</v>
      </c>
      <c r="E159" s="13">
        <f t="shared" si="21"/>
        <v>27460.986252364233</v>
      </c>
      <c r="F159" s="13">
        <f t="shared" si="21"/>
        <v>28669.26964746826</v>
      </c>
      <c r="G159" s="13">
        <f t="shared" si="21"/>
        <v>29930.717511956864</v>
      </c>
      <c r="H159" s="13">
        <f t="shared" si="21"/>
        <v>31247.669082482967</v>
      </c>
      <c r="I159" s="13">
        <f t="shared" si="21"/>
        <v>32653.814191194699</v>
      </c>
      <c r="J159" s="13">
        <f t="shared" si="21"/>
        <v>34123.235829798461</v>
      </c>
      <c r="K159" s="13">
        <f t="shared" si="21"/>
        <v>35658.781442139392</v>
      </c>
      <c r="L159" s="13"/>
      <c r="M159" s="13"/>
    </row>
    <row r="160" spans="1:13">
      <c r="A160" t="s">
        <v>8</v>
      </c>
      <c r="B160" s="13">
        <f>Baseline!J26*UF_Assumptions_1!B8*UF_Assumptions_1!D8*UF_Assumptions_1!C8*UF_Assumptions_1!K8*UF_Assumptions_1!J8*UF_Assumptions_1!G8*UF_Assumptions_1!F8</f>
        <v>53413.090581679266</v>
      </c>
      <c r="C160" s="13">
        <f>B160*(1+UF_Assumptions_2!B20)</f>
        <v>55763.266567273153</v>
      </c>
      <c r="D160" s="13">
        <f>C160*(1+UF_Assumptions_2!C20)</f>
        <v>58328.37682936772</v>
      </c>
      <c r="E160" s="13">
        <f>D160*(1+UF_Assumptions_2!D20)</f>
        <v>60953.153786689261</v>
      </c>
      <c r="F160" s="13">
        <f>E160*(1+UF_Assumptions_2!E20)</f>
        <v>63635.092553303592</v>
      </c>
      <c r="G160" s="13">
        <f>F160*(1+UF_Assumptions_2!F20)</f>
        <v>66435.036625648951</v>
      </c>
      <c r="H160" s="13">
        <f>G160*(1+UF_Assumptions_2!G20)</f>
        <v>69358.178237177504</v>
      </c>
      <c r="I160" s="13">
        <f>H160*(1+UF_Assumptions_2!H20)</f>
        <v>72479.296257850481</v>
      </c>
      <c r="J160" s="13">
        <f>I160*(1+UF_Assumptions_2!I20)</f>
        <v>75740.864589453748</v>
      </c>
      <c r="K160" s="13">
        <f>J160*(1+UF_Assumptions_2!J20)</f>
        <v>79149.203495979164</v>
      </c>
      <c r="L160" s="13"/>
      <c r="M160" s="13"/>
    </row>
    <row r="161" spans="1:13">
      <c r="A161" t="s">
        <v>9</v>
      </c>
      <c r="B161" s="13">
        <f t="shared" si="21"/>
        <v>20133.782360626981</v>
      </c>
      <c r="C161" s="13">
        <f t="shared" si="21"/>
        <v>21019.66878449457</v>
      </c>
      <c r="D161" s="13">
        <f t="shared" si="21"/>
        <v>21986.57354858132</v>
      </c>
      <c r="E161" s="13">
        <f t="shared" si="21"/>
        <v>22975.969358267477</v>
      </c>
      <c r="F161" s="13">
        <f t="shared" si="21"/>
        <v>23986.912010031247</v>
      </c>
      <c r="G161" s="13">
        <f t="shared" si="21"/>
        <v>25042.336138472623</v>
      </c>
      <c r="H161" s="13">
        <f t="shared" si="21"/>
        <v>26144.19892856542</v>
      </c>
      <c r="I161" s="13">
        <f t="shared" si="21"/>
        <v>27320.687880350863</v>
      </c>
      <c r="J161" s="13">
        <f t="shared" si="21"/>
        <v>28550.118834966648</v>
      </c>
      <c r="K161" s="13">
        <f t="shared" si="21"/>
        <v>29834.874182540145</v>
      </c>
      <c r="L161" s="13"/>
      <c r="M161" s="13"/>
    </row>
    <row r="162" spans="1:13">
      <c r="A162" t="s">
        <v>10</v>
      </c>
      <c r="B162" s="13">
        <f t="shared" si="21"/>
        <v>18140.285607789145</v>
      </c>
      <c r="C162" s="13">
        <f t="shared" si="21"/>
        <v>18938.458174531868</v>
      </c>
      <c r="D162" s="13">
        <f t="shared" si="21"/>
        <v>19809.627250560334</v>
      </c>
      <c r="E162" s="13">
        <f t="shared" si="21"/>
        <v>20701.060476835548</v>
      </c>
      <c r="F162" s="13">
        <f t="shared" si="21"/>
        <v>21611.907137816313</v>
      </c>
      <c r="G162" s="13">
        <f t="shared" si="21"/>
        <v>22562.831051880232</v>
      </c>
      <c r="H162" s="13">
        <f t="shared" si="21"/>
        <v>23555.595618162963</v>
      </c>
      <c r="I162" s="13">
        <f t="shared" si="21"/>
        <v>24615.597420980295</v>
      </c>
      <c r="J162" s="13">
        <f t="shared" si="21"/>
        <v>25723.299304924407</v>
      </c>
      <c r="K162" s="13">
        <f t="shared" si="21"/>
        <v>26880.847773646004</v>
      </c>
      <c r="L162" s="13"/>
      <c r="M162" s="13"/>
    </row>
    <row r="163" spans="1:13">
      <c r="A163" t="s">
        <v>18</v>
      </c>
      <c r="B163" s="13">
        <f t="shared" si="21"/>
        <v>28600.194242264795</v>
      </c>
      <c r="C163" s="13">
        <f t="shared" si="21"/>
        <v>29858.602788924447</v>
      </c>
      <c r="D163" s="13">
        <f t="shared" si="21"/>
        <v>31232.098517214974</v>
      </c>
      <c r="E163" s="13">
        <f t="shared" si="21"/>
        <v>32637.542950489646</v>
      </c>
      <c r="F163" s="13">
        <f t="shared" si="21"/>
        <v>34073.594840311191</v>
      </c>
      <c r="G163" s="13">
        <f t="shared" si="21"/>
        <v>35572.833013284886</v>
      </c>
      <c r="H163" s="13">
        <f t="shared" si="21"/>
        <v>37138.037665869422</v>
      </c>
      <c r="I163" s="13">
        <f t="shared" si="21"/>
        <v>38809.249360833543</v>
      </c>
      <c r="J163" s="13">
        <f t="shared" si="21"/>
        <v>40555.665582071051</v>
      </c>
      <c r="K163" s="13">
        <f t="shared" si="21"/>
        <v>42380.670533264245</v>
      </c>
      <c r="L163" s="13"/>
      <c r="M163" s="13"/>
    </row>
    <row r="164" spans="1:13">
      <c r="A164" t="s">
        <v>16</v>
      </c>
      <c r="B164" s="13">
        <f t="shared" si="21"/>
        <v>9438.0617106060163</v>
      </c>
      <c r="C164" s="13">
        <f t="shared" si="21"/>
        <v>9853.3364258726815</v>
      </c>
      <c r="D164" s="13">
        <f t="shared" si="21"/>
        <v>10306.589901462825</v>
      </c>
      <c r="E164" s="13">
        <f t="shared" si="21"/>
        <v>10770.386447028652</v>
      </c>
      <c r="F164" s="13">
        <f t="shared" si="21"/>
        <v>11244.283450697912</v>
      </c>
      <c r="G164" s="13">
        <f t="shared" si="21"/>
        <v>11739.03192252862</v>
      </c>
      <c r="H164" s="13">
        <f t="shared" si="21"/>
        <v>12255.549327119879</v>
      </c>
      <c r="I164" s="13">
        <f t="shared" si="21"/>
        <v>12807.049046840273</v>
      </c>
      <c r="J164" s="13">
        <f t="shared" si="21"/>
        <v>13383.366253948085</v>
      </c>
      <c r="K164" s="13">
        <f t="shared" si="21"/>
        <v>13985.617735375748</v>
      </c>
      <c r="L164" s="13"/>
      <c r="M164" s="13"/>
    </row>
    <row r="165" spans="1:13">
      <c r="A165" t="s">
        <v>11</v>
      </c>
      <c r="B165" s="13">
        <f t="shared" si="21"/>
        <v>6035.072584392613</v>
      </c>
      <c r="C165" s="13">
        <f t="shared" si="21"/>
        <v>6300.6157781058882</v>
      </c>
      <c r="D165" s="13">
        <f t="shared" si="21"/>
        <v>6590.4441038987597</v>
      </c>
      <c r="E165" s="13">
        <f t="shared" si="21"/>
        <v>6887.0140885742039</v>
      </c>
      <c r="F165" s="13">
        <f t="shared" si="21"/>
        <v>7190.0427084714693</v>
      </c>
      <c r="G165" s="13">
        <f t="shared" si="21"/>
        <v>7506.4045876442142</v>
      </c>
      <c r="H165" s="13">
        <f t="shared" si="21"/>
        <v>7836.6863895005599</v>
      </c>
      <c r="I165" s="13">
        <f t="shared" si="21"/>
        <v>8189.3372770280848</v>
      </c>
      <c r="J165" s="13">
        <f t="shared" si="21"/>
        <v>8557.8574544943476</v>
      </c>
      <c r="K165" s="13">
        <f t="shared" si="21"/>
        <v>8942.9610399465928</v>
      </c>
      <c r="L165" s="13"/>
      <c r="M165" s="13"/>
    </row>
    <row r="166" spans="1:13">
      <c r="A166" t="s">
        <v>13</v>
      </c>
      <c r="B166" s="13">
        <f>B98</f>
        <v>13015.934321462773</v>
      </c>
      <c r="C166" s="13">
        <f t="shared" ref="C166:K166" si="22">C98</f>
        <v>13476.024721270978</v>
      </c>
      <c r="D166" s="13">
        <f t="shared" si="22"/>
        <v>13923.220163679234</v>
      </c>
      <c r="E166" s="13">
        <f t="shared" si="22"/>
        <v>14458.753862211928</v>
      </c>
      <c r="F166" s="13">
        <f t="shared" si="22"/>
        <v>15047.036138730071</v>
      </c>
      <c r="G166" s="13">
        <f t="shared" si="22"/>
        <v>15608.734786912868</v>
      </c>
      <c r="H166" s="13">
        <f t="shared" si="22"/>
        <v>16159.948137089295</v>
      </c>
      <c r="I166" s="13">
        <f t="shared" si="22"/>
        <v>16766.700865673727</v>
      </c>
      <c r="J166" s="13">
        <f t="shared" si="22"/>
        <v>17396.231249972214</v>
      </c>
      <c r="K166" s="13">
        <f t="shared" si="22"/>
        <v>18049.393987394586</v>
      </c>
      <c r="L166" s="13"/>
      <c r="M166" s="13"/>
    </row>
    <row r="167" spans="1:13">
      <c r="A167" t="s">
        <v>71</v>
      </c>
      <c r="B167" s="13">
        <f>B99</f>
        <v>28791.565066927964</v>
      </c>
      <c r="C167" s="13">
        <f t="shared" ref="C167:K167" si="23">C99</f>
        <v>30058.393929872796</v>
      </c>
      <c r="D167" s="13">
        <f t="shared" si="23"/>
        <v>31441.080050646946</v>
      </c>
      <c r="E167" s="13">
        <f t="shared" si="23"/>
        <v>32855.928652926057</v>
      </c>
      <c r="F167" s="13">
        <f t="shared" si="23"/>
        <v>34301.589513654806</v>
      </c>
      <c r="G167" s="13">
        <f t="shared" si="23"/>
        <v>35810.859452255616</v>
      </c>
      <c r="H167" s="13">
        <f t="shared" si="23"/>
        <v>37386.537268154862</v>
      </c>
      <c r="I167" s="13">
        <f t="shared" si="23"/>
        <v>39068.931445221824</v>
      </c>
      <c r="J167" s="13">
        <f t="shared" si="23"/>
        <v>40827.033360256806</v>
      </c>
      <c r="K167" s="13">
        <f t="shared" si="23"/>
        <v>42664.249861468357</v>
      </c>
      <c r="L167" s="13"/>
      <c r="M167" s="13"/>
    </row>
    <row r="168" spans="1:13">
      <c r="A168" s="6" t="s">
        <v>166</v>
      </c>
      <c r="B168" s="13">
        <f>SUM(B156:B165)*(UF_Assumptions_1!B$19/(1-UF_Assumptions_1!B$19))</f>
        <v>29128.244065989595</v>
      </c>
      <c r="C168" s="13">
        <f>SUM(C156:C165)*(UF_Assumptions_1!C$19/(1-UF_Assumptions_1!C$19))</f>
        <v>30409.886804893147</v>
      </c>
      <c r="D168" s="13">
        <f>SUM(D156:D165)*(UF_Assumptions_1!D$19/(1-UF_Assumptions_1!D$19))</f>
        <v>31808.74159791823</v>
      </c>
      <c r="E168" s="13">
        <f>SUM(E156:E165)*(UF_Assumptions_1!E$19/(1-UF_Assumptions_1!E$19))</f>
        <v>33240.134969824547</v>
      </c>
      <c r="F168" s="13">
        <f>SUM(F156:F165)*(UF_Assumptions_1!F$19/(1-UF_Assumptions_1!F$19))</f>
        <v>34702.700908496816</v>
      </c>
      <c r="G168" s="13">
        <f>SUM(G156:G165)*(UF_Assumptions_1!G$19/(1-UF_Assumptions_1!G$19))</f>
        <v>36229.619748470694</v>
      </c>
      <c r="H168" s="13">
        <f>SUM(H156:H165)*(UF_Assumptions_1!H$19/(1-UF_Assumptions_1!H$19))</f>
        <v>37823.723017403398</v>
      </c>
      <c r="I168" s="13">
        <f>SUM(I156:I165)*(UF_Assumptions_1!I$19/(1-UF_Assumptions_1!I$19))</f>
        <v>39525.790553186554</v>
      </c>
      <c r="J168" s="13">
        <f>SUM(J156:J165)*(UF_Assumptions_1!J$19/(1-UF_Assumptions_1!J$19))</f>
        <v>41304.451128079949</v>
      </c>
      <c r="K168" s="13">
        <f>SUM(K156:K165)*(UF_Assumptions_1!K$19/(1-UF_Assumptions_1!K$19))</f>
        <v>43163.151428843543</v>
      </c>
      <c r="L168" s="56">
        <f>B168/((SUM(B156:B165)+B168))</f>
        <v>0.06</v>
      </c>
      <c r="M168" s="13"/>
    </row>
    <row r="169" spans="1:13">
      <c r="A169" s="212" t="s">
        <v>218</v>
      </c>
      <c r="B169" s="13">
        <f>UF_Assumptions_1!$B$28*UF_Assumptions_1!$B$30/1000000</f>
        <v>1042.6805944431842</v>
      </c>
      <c r="C169" s="13">
        <f>UF_Assumptions_1!$B$28*UF_Assumptions_1!$B$30/1000000</f>
        <v>1042.6805944431842</v>
      </c>
      <c r="D169" s="13">
        <f>UF_Assumptions_1!$B$28*UF_Assumptions_1!$B$30/1000000</f>
        <v>1042.6805944431842</v>
      </c>
      <c r="E169" s="13">
        <f>UF_Assumptions_1!$B$28*UF_Assumptions_1!$B$30/1000000</f>
        <v>1042.6805944431842</v>
      </c>
      <c r="F169" s="13">
        <f>UF_Assumptions_1!$B$28*UF_Assumptions_1!$B$30/1000000</f>
        <v>1042.6805944431842</v>
      </c>
      <c r="G169" s="13">
        <f>UF_Assumptions_1!$B$28*UF_Assumptions_1!$B$30/1000000</f>
        <v>1042.6805944431842</v>
      </c>
      <c r="H169" s="13">
        <f>UF_Assumptions_1!$B$28*UF_Assumptions_1!$B$30/1000000</f>
        <v>1042.6805944431842</v>
      </c>
      <c r="I169" s="13">
        <f>UF_Assumptions_1!$B$28*UF_Assumptions_1!$B$30/1000000</f>
        <v>1042.6805944431842</v>
      </c>
      <c r="J169" s="13">
        <f>UF_Assumptions_1!$B$28*UF_Assumptions_1!$B$30/1000000</f>
        <v>1042.6805944431842</v>
      </c>
      <c r="K169" s="13">
        <f>UF_Assumptions_1!$B$28*UF_Assumptions_1!$B$30/1000000</f>
        <v>1042.6805944431842</v>
      </c>
      <c r="L169" s="13"/>
      <c r="M169" s="13"/>
    </row>
    <row r="170" spans="1:13">
      <c r="A170" s="211" t="s">
        <v>276</v>
      </c>
      <c r="B170" s="17">
        <f>((UF_Calculations_2!B96-UF_Assumptions_1!$B$60)/UF_Assumptions_1!$B$63)+UF_Assumptions_1!$B$61</f>
        <v>3935.0659708904977</v>
      </c>
      <c r="C170" s="17">
        <f>((UF_Calculations_2!C96-UF_Assumptions_1!$B$60)/UF_Assumptions_1!$B$63)+UF_Assumptions_1!$B$61</f>
        <v>4072.6958733876081</v>
      </c>
      <c r="D170" s="17">
        <f>((UF_Calculations_2!D96-UF_Assumptions_1!$B$60)/UF_Assumptions_1!$B$63)+UF_Assumptions_1!$B$61</f>
        <v>4232.6588627285591</v>
      </c>
      <c r="E170" s="17">
        <f>((UF_Calculations_2!E96-UF_Assumptions_1!$B$60)/UF_Assumptions_1!$B$63)+UF_Assumptions_1!$B$61</f>
        <v>4381.6961395381377</v>
      </c>
      <c r="F170" s="17">
        <f>((UF_Calculations_2!F96-UF_Assumptions_1!$B$60)/UF_Assumptions_1!$B$63)+UF_Assumptions_1!$B$61</f>
        <v>4519.0641707139448</v>
      </c>
      <c r="G170" s="17">
        <f>((UF_Calculations_2!G96-UF_Assumptions_1!$B$60)/UF_Assumptions_1!$B$63)+UF_Assumptions_1!$B$61</f>
        <v>4665.1475852733165</v>
      </c>
      <c r="H170" s="17">
        <f>((UF_Calculations_2!H96-UF_Assumptions_1!$B$60)/UF_Assumptions_1!$B$63)+UF_Assumptions_1!$B$61</f>
        <v>4813.6043756905929</v>
      </c>
      <c r="I170" s="17">
        <f>((UF_Calculations_2!I96-UF_Assumptions_1!$B$60)/UF_Assumptions_1!$B$63)+UF_Assumptions_1!$B$61</f>
        <v>4966.9399530256087</v>
      </c>
      <c r="J170" s="17">
        <f>((UF_Calculations_2!J96-UF_Assumptions_1!$B$60)/UF_Assumptions_1!$B$63)+UF_Assumptions_1!$B$61</f>
        <v>5120.3877767310423</v>
      </c>
      <c r="K170" s="17">
        <f>((UF_Calculations_2!K96-UF_Assumptions_1!$B$60)/UF_Assumptions_1!$B$63)+UF_Assumptions_1!$B$61</f>
        <v>5273.4545205192735</v>
      </c>
      <c r="L170" s="13"/>
      <c r="M170" s="13"/>
    </row>
    <row r="171" spans="1:13">
      <c r="A171" s="8" t="s">
        <v>14</v>
      </c>
      <c r="B171" s="88">
        <f t="shared" ref="B171:K171" si="24">SUM(B156:B170)</f>
        <v>532255.98038688442</v>
      </c>
      <c r="C171" s="88">
        <f t="shared" si="24"/>
        <v>555481.24186719372</v>
      </c>
      <c r="D171" s="88">
        <f t="shared" si="24"/>
        <v>580785.33297013503</v>
      </c>
      <c r="E171" s="88">
        <f t="shared" si="24"/>
        <v>606741.30874619517</v>
      </c>
      <c r="F171" s="88">
        <f t="shared" si="24"/>
        <v>633288.71889248921</v>
      </c>
      <c r="G171" s="88">
        <f t="shared" si="24"/>
        <v>660954.41822673008</v>
      </c>
      <c r="H171" s="88">
        <f t="shared" si="24"/>
        <v>689798.15399876796</v>
      </c>
      <c r="I171" s="88">
        <f t="shared" si="24"/>
        <v>720608.42874480702</v>
      </c>
      <c r="J171" s="88">
        <f t="shared" si="24"/>
        <v>752793.85178273579</v>
      </c>
      <c r="K171" s="88">
        <f t="shared" si="24"/>
        <v>786415.63611121778</v>
      </c>
      <c r="L171" s="88"/>
      <c r="M171" s="88"/>
    </row>
    <row r="172" spans="1:13" s="2" customFormat="1">
      <c r="A172" s="2" t="s">
        <v>553</v>
      </c>
    </row>
    <row r="173" spans="1:13">
      <c r="A173" t="s">
        <v>4</v>
      </c>
      <c r="B173" s="13">
        <f>Baseline!J22*UF_Assumptions_1!B4*UF_Assumptions_1!E4*UF_Assumptions_1!H4*UF_Assumptions_1!C4*UF_Assumptions_1!I4*UF_Assumptions_1!G4*UF_Assumptions_1!F4</f>
        <v>158762.07942392305</v>
      </c>
      <c r="C173" s="13">
        <f>B173*(1+UF_Assumptions_2!B20)</f>
        <v>165747.61091857566</v>
      </c>
      <c r="D173" s="13">
        <f>C173*(1+UF_Assumptions_2!C20)</f>
        <v>173372.00102083015</v>
      </c>
      <c r="E173" s="13">
        <f>D173*(1+UF_Assumptions_2!D20)</f>
        <v>181173.74106676748</v>
      </c>
      <c r="F173" s="13">
        <f>E173*(1+UF_Assumptions_2!E20)</f>
        <v>189145.38567370526</v>
      </c>
      <c r="G173" s="13">
        <f>F173*(1+UF_Assumptions_2!F20)</f>
        <v>197467.7826433483</v>
      </c>
      <c r="H173" s="13">
        <f>G173*(1+UF_Assumptions_2!G20)</f>
        <v>206156.36507965563</v>
      </c>
      <c r="I173" s="13">
        <f>H173*(1+UF_Assumptions_2!H20)</f>
        <v>215433.40150824012</v>
      </c>
      <c r="J173" s="13">
        <f>I173*(1+UF_Assumptions_2!I20)</f>
        <v>225127.90457611092</v>
      </c>
      <c r="K173" s="13">
        <f>J173*(1+UF_Assumptions_2!J20)</f>
        <v>235258.66028203588</v>
      </c>
      <c r="L173" s="13"/>
      <c r="M173" s="13"/>
    </row>
    <row r="174" spans="1:13">
      <c r="A174" t="s">
        <v>5</v>
      </c>
      <c r="B174" s="13">
        <f>Baseline!J23*UF_Assumptions_1!B5*UF_Assumptions_1!E5*UF_Assumptions_1!H5*UF_Assumptions_1!C5*UF_Assumptions_1!I5*UF_Assumptions_1!G5*UF_Assumptions_1!F5</f>
        <v>115850.48024547381</v>
      </c>
      <c r="C174" s="13">
        <f>B174*(1+UF_Assumptions_2!B21)</f>
        <v>120947.90137627466</v>
      </c>
      <c r="D174" s="13">
        <f>C174*(1+UF_Assumptions_2!C21)</f>
        <v>126511.5048395833</v>
      </c>
      <c r="E174" s="13">
        <f>D174*(1+UF_Assumptions_2!D21)</f>
        <v>132204.52255736454</v>
      </c>
      <c r="F174" s="13">
        <f>E174*(1+UF_Assumptions_2!E21)</f>
        <v>138021.5215498886</v>
      </c>
      <c r="G174" s="13">
        <f>F174*(1+UF_Assumptions_2!F21)</f>
        <v>144094.4684980837</v>
      </c>
      <c r="H174" s="13">
        <f>G174*(1+UF_Assumptions_2!G21)</f>
        <v>150434.6251119994</v>
      </c>
      <c r="I174" s="13">
        <f>H174*(1+UF_Assumptions_2!H21)</f>
        <v>157204.18324203935</v>
      </c>
      <c r="J174" s="13">
        <f>I174*(1+UF_Assumptions_2!I21)</f>
        <v>164278.37148793112</v>
      </c>
      <c r="K174" s="13">
        <f>J174*(1+UF_Assumptions_2!J21)</f>
        <v>171670.89820488801</v>
      </c>
      <c r="L174" s="13"/>
      <c r="M174" s="13"/>
    </row>
    <row r="175" spans="1:13">
      <c r="A175" t="s">
        <v>6</v>
      </c>
      <c r="B175" s="13">
        <f>Baseline!J24*UF_Assumptions_1!B6*UF_Assumptions_1!E6*UF_Assumptions_1!H6*UF_Assumptions_1!C6*UF_Assumptions_1!I6*UF_Assumptions_1!G6*UF_Assumptions_1!F6</f>
        <v>13982.840409052773</v>
      </c>
      <c r="C175" s="13">
        <f>B175*(1+UF_Assumptions_2!B22)</f>
        <v>14598.085387051095</v>
      </c>
      <c r="D175" s="13">
        <f>C175*(1+UF_Assumptions_2!C22)</f>
        <v>15269.597314855446</v>
      </c>
      <c r="E175" s="13">
        <f>D175*(1+UF_Assumptions_2!D22)</f>
        <v>15956.729194023939</v>
      </c>
      <c r="F175" s="13">
        <f>E175*(1+UF_Assumptions_2!E22)</f>
        <v>16658.825278560995</v>
      </c>
      <c r="G175" s="13">
        <f>F175*(1+UF_Assumptions_2!F22)</f>
        <v>17391.813590817681</v>
      </c>
      <c r="H175" s="13">
        <f>G175*(1+UF_Assumptions_2!G22)</f>
        <v>18157.05338881366</v>
      </c>
      <c r="I175" s="13">
        <f>H175*(1+UF_Assumptions_2!H22)</f>
        <v>18974.120791310273</v>
      </c>
      <c r="J175" s="13">
        <f>I175*(1+UF_Assumptions_2!I22)</f>
        <v>19827.956226919236</v>
      </c>
      <c r="K175" s="13">
        <f>J175*(1+UF_Assumptions_2!J22)</f>
        <v>20720.214257130599</v>
      </c>
      <c r="L175" s="13"/>
      <c r="M175" s="13"/>
    </row>
    <row r="176" spans="1:13">
      <c r="A176" t="s">
        <v>7</v>
      </c>
      <c r="B176" s="13">
        <f>Baseline!J25*UF_Assumptions_1!B7*UF_Assumptions_1!E7*UF_Assumptions_1!H7*UF_Assumptions_1!C7*UF_Assumptions_1!I7*UF_Assumptions_1!G7*UF_Assumptions_1!F7</f>
        <v>23490.727223778569</v>
      </c>
      <c r="C176" s="13">
        <f>B176*(1+UF_Assumptions_2!B23)</f>
        <v>24524.319221624828</v>
      </c>
      <c r="D176" s="13">
        <f>C176*(1+UF_Assumptions_2!C23)</f>
        <v>25652.43790581957</v>
      </c>
      <c r="E176" s="13">
        <f>D176*(1+UF_Assumptions_2!D23)</f>
        <v>26806.797611581449</v>
      </c>
      <c r="F176" s="13">
        <f>E176*(1+UF_Assumptions_2!E23)</f>
        <v>27986.296706491034</v>
      </c>
      <c r="G176" s="13">
        <f>F176*(1+UF_Assumptions_2!F23)</f>
        <v>29217.69376157664</v>
      </c>
      <c r="H176" s="13">
        <f>G176*(1+UF_Assumptions_2!G23)</f>
        <v>30503.272287086013</v>
      </c>
      <c r="I176" s="13">
        <f>H176*(1+UF_Assumptions_2!H23)</f>
        <v>31875.919540004881</v>
      </c>
      <c r="J176" s="13">
        <f>I176*(1+UF_Assumptions_2!I23)</f>
        <v>33310.3359193051</v>
      </c>
      <c r="K176" s="13">
        <f>J176*(1+UF_Assumptions_2!J23)</f>
        <v>34809.30103567383</v>
      </c>
      <c r="L176" s="13"/>
      <c r="M176" s="13"/>
    </row>
    <row r="177" spans="1:13">
      <c r="A177" t="s">
        <v>8</v>
      </c>
      <c r="B177" s="13">
        <f>Baseline!J26*UF_Assumptions_1!B8*UF_Assumptions_1!D8*UF_Assumptions_1!H8*UF_Assumptions_1!C8*UF_Assumptions_1!K8*UF_Assumptions_1!I8*UF_Assumptions_1!G8*UF_Assumptions_1!F8</f>
        <v>52286.231772280262</v>
      </c>
      <c r="C177" s="13">
        <f>B177*(1+UF_Assumptions_2!B24)</f>
        <v>54586.825970260594</v>
      </c>
      <c r="D177" s="13">
        <f>C177*(1+UF_Assumptions_2!C24)</f>
        <v>57097.81996489258</v>
      </c>
      <c r="E177" s="13">
        <f>D177*(1+UF_Assumptions_2!D24)</f>
        <v>59667.221863312741</v>
      </c>
      <c r="F177" s="13">
        <f>E177*(1+UF_Assumptions_2!E24)</f>
        <v>62292.579625298502</v>
      </c>
      <c r="G177" s="13">
        <f>F177*(1+UF_Assumptions_2!F24)</f>
        <v>65033.453128811641</v>
      </c>
      <c r="H177" s="13">
        <f>G177*(1+UF_Assumptions_2!G24)</f>
        <v>67894.925066479351</v>
      </c>
      <c r="I177" s="13">
        <f>H177*(1+UF_Assumptions_2!H24)</f>
        <v>70950.196694470913</v>
      </c>
      <c r="J177" s="13">
        <f>I177*(1+UF_Assumptions_2!I24)</f>
        <v>74142.955545722099</v>
      </c>
      <c r="K177" s="13">
        <f>J177*(1+UF_Assumptions_2!J24)</f>
        <v>77479.388545279595</v>
      </c>
      <c r="L177" s="13"/>
      <c r="M177" s="13"/>
    </row>
    <row r="178" spans="1:13">
      <c r="A178" s="6" t="s">
        <v>9</v>
      </c>
      <c r="B178" s="17">
        <f>Baseline!J27*UF_Assumptions_1!B9*UF_Assumptions_1!E9*UF_Assumptions_1!H9*UF_Assumptions_1!C9*UF_Assumptions_1!I9*UF_Assumptions_1!G9*UF_Assumptions_1!F9</f>
        <v>19654.145846655058</v>
      </c>
      <c r="C178" s="17">
        <f>B178*(1+UF_Assumptions_2!B25)</f>
        <v>20518.928263907881</v>
      </c>
      <c r="D178" s="17">
        <f>C178*(1+UF_Assumptions_2!C25)</f>
        <v>21462.798964047644</v>
      </c>
      <c r="E178" s="17">
        <f>D178*(1+UF_Assumptions_2!D25)</f>
        <v>22428.624917429788</v>
      </c>
      <c r="F178" s="17">
        <f>E178*(1+UF_Assumptions_2!E25)</f>
        <v>23415.484413796701</v>
      </c>
      <c r="G178" s="17">
        <f>F178*(1+UF_Assumptions_2!F25)</f>
        <v>24445.765728003757</v>
      </c>
      <c r="H178" s="17">
        <f>G178*(1+UF_Assumptions_2!G25)</f>
        <v>25521.379420035923</v>
      </c>
      <c r="I178" s="17">
        <f>H178*(1+UF_Assumptions_2!H25)</f>
        <v>26669.841493937536</v>
      </c>
      <c r="J178" s="17">
        <f>I178*(1+UF_Assumptions_2!I25)</f>
        <v>27869.984361164723</v>
      </c>
      <c r="K178" s="17">
        <f>J178*(1+UF_Assumptions_2!J25)</f>
        <v>29124.133657417133</v>
      </c>
      <c r="L178" s="13"/>
      <c r="M178" s="13"/>
    </row>
    <row r="179" spans="1:13" s="6" customFormat="1">
      <c r="A179" s="6" t="s">
        <v>10</v>
      </c>
      <c r="B179" s="17">
        <f>Baseline!J28*UF_Assumptions_1!B10*UF_Assumptions_1!E10*UF_Assumptions_1!H10*UF_Assumptions_1!C10*UF_Assumptions_1!I10*UF_Assumptions_1!G10*UF_Assumptions_1!F10</f>
        <v>17757.579038677741</v>
      </c>
      <c r="C179" s="17">
        <f>B179*(1+UF_Assumptions_2!B22)</f>
        <v>18538.912516379562</v>
      </c>
      <c r="D179" s="17">
        <f>C179*(1+UF_Assumptions_2!C22)</f>
        <v>19391.702492133023</v>
      </c>
      <c r="E179" s="17">
        <f>D179*(1+UF_Assumptions_2!D22)</f>
        <v>20264.329104279008</v>
      </c>
      <c r="F179" s="17">
        <f>E179*(1+UF_Assumptions_2!E22)</f>
        <v>21155.959584867283</v>
      </c>
      <c r="G179" s="17">
        <f>F179*(1+UF_Assumptions_2!F22)</f>
        <v>22086.821806601445</v>
      </c>
      <c r="H179" s="17">
        <f>G179*(1+UF_Assumptions_2!G22)</f>
        <v>23058.641966091909</v>
      </c>
      <c r="I179" s="17">
        <f>H179*(1+UF_Assumptions_2!H22)</f>
        <v>24096.280854566045</v>
      </c>
      <c r="J179" s="17">
        <f>I179*(1+UF_Assumptions_2!I22)</f>
        <v>25180.613493021516</v>
      </c>
      <c r="K179" s="17">
        <f>J179*(1+UF_Assumptions_2!J22)</f>
        <v>26313.74110020748</v>
      </c>
      <c r="L179" s="17"/>
      <c r="M179" s="13"/>
    </row>
    <row r="180" spans="1:13">
      <c r="A180" t="s">
        <v>18</v>
      </c>
      <c r="B180" s="17">
        <f>Baseline!J29*UF_Assumptions_1!B11*UF_Assumptions_1!E11*UF_Assumptions_1!H11*UF_Assumptions_1!C11*UF_Assumptions_1!I11*UF_Assumptions_1!G11*UF_Assumptions_1!F11</f>
        <v>28377.247329406087</v>
      </c>
      <c r="C180" s="17">
        <f>B180*(1+UF_Assumptions_2!B23)</f>
        <v>29625.846211899956</v>
      </c>
      <c r="D180" s="17">
        <f>C180*(1+UF_Assumptions_2!C23)</f>
        <v>30988.635137647354</v>
      </c>
      <c r="E180" s="17">
        <f>D180*(1+UF_Assumptions_2!D23)</f>
        <v>32383.123718841482</v>
      </c>
      <c r="F180" s="17">
        <f>E180*(1+UF_Assumptions_2!E23)</f>
        <v>33807.981162470511</v>
      </c>
      <c r="G180" s="17">
        <f>F180*(1+UF_Assumptions_2!F23)</f>
        <v>35295.532333619216</v>
      </c>
      <c r="H180" s="17">
        <f>G180*(1+UF_Assumptions_2!G23)</f>
        <v>36848.535756298465</v>
      </c>
      <c r="I180" s="17">
        <f>H180*(1+UF_Assumptions_2!H23)</f>
        <v>38506.719865331892</v>
      </c>
      <c r="J180" s="17">
        <f>I180*(1+UF_Assumptions_2!I23)</f>
        <v>40239.522259271827</v>
      </c>
      <c r="K180" s="17">
        <f>J180*(1+UF_Assumptions_2!J23)</f>
        <v>42050.300760939055</v>
      </c>
      <c r="L180" s="13"/>
      <c r="M180" s="13"/>
    </row>
    <row r="181" spans="1:13">
      <c r="A181" t="s">
        <v>16</v>
      </c>
      <c r="B181" s="17">
        <f>Baseline!J30*UF_Assumptions_1!B12*UF_Assumptions_1!E12*UF_Assumptions_1!H12*UF_Assumptions_1!C12*UF_Assumptions_1!I12*UF_Assumptions_1!G12*UF_Assumptions_1!F12</f>
        <v>9782.1964709051808</v>
      </c>
      <c r="C181" s="17">
        <f>B181*(1+UF_Assumptions_2!B24)</f>
        <v>10212.613115625009</v>
      </c>
      <c r="D181" s="17">
        <f>C181*(1+UF_Assumptions_2!C24)</f>
        <v>10682.393318943759</v>
      </c>
      <c r="E181" s="17">
        <f>D181*(1+UF_Assumptions_2!D24)</f>
        <v>11163.101018296227</v>
      </c>
      <c r="F181" s="17">
        <f>E181*(1+UF_Assumptions_2!E24)</f>
        <v>11654.277463101262</v>
      </c>
      <c r="G181" s="17">
        <f>F181*(1+UF_Assumptions_2!F24)</f>
        <v>12167.065671477718</v>
      </c>
      <c r="H181" s="17">
        <f>G181*(1+UF_Assumptions_2!G24)</f>
        <v>12702.416561022737</v>
      </c>
      <c r="I181" s="17">
        <f>H181*(1+UF_Assumptions_2!H24)</f>
        <v>13274.025306268759</v>
      </c>
      <c r="J181" s="17">
        <f>I181*(1+UF_Assumptions_2!I24)</f>
        <v>13871.356445050853</v>
      </c>
      <c r="K181" s="17">
        <f>J181*(1+UF_Assumptions_2!J24)</f>
        <v>14495.56748507814</v>
      </c>
      <c r="L181" s="13"/>
      <c r="M181" s="13"/>
    </row>
    <row r="182" spans="1:13">
      <c r="A182" t="s">
        <v>11</v>
      </c>
      <c r="B182" s="17">
        <f>Baseline!J31*UF_Assumptions_1!B13*UF_Assumptions_1!E13*UF_Assumptions_1!H13*UF_Assumptions_1!C13*UF_Assumptions_1!I13*UF_Assumptions_1!G13*UF_Assumptions_1!F13</f>
        <v>5891.3022225153381</v>
      </c>
      <c r="C182" s="17">
        <f>B182*(1+UF_Assumptions_2!B25)</f>
        <v>6150.519520306013</v>
      </c>
      <c r="D182" s="17">
        <f>C182*(1+UF_Assumptions_2!C25)</f>
        <v>6433.4434182400901</v>
      </c>
      <c r="E182" s="17">
        <f>D182*(1+UF_Assumptions_2!D25)</f>
        <v>6722.9483720608932</v>
      </c>
      <c r="F182" s="17">
        <f>E182*(1+UF_Assumptions_2!E25)</f>
        <v>7018.7581004315725</v>
      </c>
      <c r="G182" s="17">
        <f>F182*(1+UF_Assumptions_2!F25)</f>
        <v>7327.5834568505616</v>
      </c>
      <c r="H182" s="17">
        <f>G182*(1+UF_Assumptions_2!G25)</f>
        <v>7649.9971289519863</v>
      </c>
      <c r="I182" s="17">
        <f>H182*(1+UF_Assumptions_2!H25)</f>
        <v>7994.2469997548251</v>
      </c>
      <c r="J182" s="17">
        <f>I182*(1+UF_Assumptions_2!I25)</f>
        <v>8353.9881147437918</v>
      </c>
      <c r="K182" s="17">
        <f>J182*(1+UF_Assumptions_2!J25)</f>
        <v>8729.9175799072618</v>
      </c>
      <c r="L182" s="13"/>
      <c r="M182" s="13"/>
    </row>
    <row r="183" spans="1:13">
      <c r="A183" t="s">
        <v>13</v>
      </c>
      <c r="B183" s="13">
        <f>Baseline!J$35</f>
        <v>13015.934321462773</v>
      </c>
      <c r="C183" s="13">
        <f>Baseline!K$35</f>
        <v>13476.024721270978</v>
      </c>
      <c r="D183" s="13">
        <f>Baseline!L$35</f>
        <v>13923.220163679234</v>
      </c>
      <c r="E183" s="13">
        <f>Baseline!M$35</f>
        <v>14458.753862211928</v>
      </c>
      <c r="F183" s="13">
        <f>Baseline!N$35</f>
        <v>15047.036138730071</v>
      </c>
      <c r="G183" s="13">
        <f>Baseline!O$35</f>
        <v>15608.734786912868</v>
      </c>
      <c r="H183" s="13">
        <f>Baseline!P$35</f>
        <v>16159.948137089295</v>
      </c>
      <c r="I183" s="13">
        <f>Baseline!Q$35</f>
        <v>16766.700865673727</v>
      </c>
      <c r="J183" s="13">
        <f>Baseline!R$35</f>
        <v>17396.231249972214</v>
      </c>
      <c r="K183" s="13">
        <f>Baseline!S$35</f>
        <v>18049.393987394586</v>
      </c>
      <c r="L183" s="13"/>
      <c r="M183" s="13"/>
    </row>
    <row r="184" spans="1:13">
      <c r="A184" t="s">
        <v>71</v>
      </c>
      <c r="B184" s="281">
        <f>Baseline!J36</f>
        <v>28791.565066927964</v>
      </c>
      <c r="C184" s="281">
        <f>B48*(1+UF_Assumptions_2!B27)</f>
        <v>30058.393929872796</v>
      </c>
      <c r="D184" s="281">
        <f>C48*(1+UF_Assumptions_2!C27)</f>
        <v>31531.427981826961</v>
      </c>
      <c r="E184" s="281">
        <f>D48*(1+UF_Assumptions_2!D27)</f>
        <v>32981.843524222371</v>
      </c>
      <c r="F184" s="281">
        <f>E48*(1+UF_Assumptions_2!E27)</f>
        <v>34531.895485142573</v>
      </c>
      <c r="G184" s="281">
        <f>F48*(1+UF_Assumptions_2!F27)</f>
        <v>36189.426468429425</v>
      </c>
      <c r="H184" s="281">
        <f>G48*(1+UF_Assumptions_2!G27)</f>
        <v>37926.518938914036</v>
      </c>
      <c r="I184" s="281">
        <f>H48*(1+UF_Assumptions_2!H27)</f>
        <v>39747.100832231728</v>
      </c>
      <c r="J184" s="281">
        <f>I48*(1+UF_Assumptions_2!I27)</f>
        <v>41641.712638568111</v>
      </c>
      <c r="K184" s="281">
        <f>J48*(1+UF_Assumptions_2!J27)</f>
        <v>43626.634274339864</v>
      </c>
      <c r="L184" s="13"/>
      <c r="M184" s="213"/>
    </row>
    <row r="185" spans="1:13">
      <c r="A185" s="6" t="s">
        <v>166</v>
      </c>
      <c r="B185" s="213">
        <f>SUM(B173:B182)*(UF_Assumptions_1!B$18/(1-UF_Assumptions_1!B$18))</f>
        <v>13788.70608193818</v>
      </c>
      <c r="C185" s="213">
        <f>SUM(C173:C182)*(UF_Assumptions_1!C$18/(1-UF_Assumptions_1!C$18))</f>
        <v>14395.409149543462</v>
      </c>
      <c r="D185" s="213">
        <f>SUM(D173:D182)*(UF_Assumptions_1!D$18/(1-UF_Assumptions_1!D$18))</f>
        <v>15057.597970422459</v>
      </c>
      <c r="E185" s="213">
        <f>SUM(E173:E182)*(UF_Assumptions_1!E$18/(1-UF_Assumptions_1!E$18))</f>
        <v>15735.189879091471</v>
      </c>
      <c r="F185" s="213">
        <f>SUM(F173:F182)*(UF_Assumptions_1!F$18/(1-UF_Assumptions_1!F$18))</f>
        <v>16427.538233771498</v>
      </c>
      <c r="G185" s="213">
        <f>SUM(G173:G182)*(UF_Assumptions_1!G$18/(1-UF_Assumptions_1!G$18))</f>
        <v>17150.349916057443</v>
      </c>
      <c r="H185" s="213">
        <f>SUM(H173:H182)*(UF_Assumptions_1!H$18/(1-UF_Assumptions_1!H$18))</f>
        <v>17904.965312363973</v>
      </c>
      <c r="I185" s="213">
        <f>SUM(I173:I182)*(UF_Assumptions_1!I$18/(1-UF_Assumptions_1!I$18))</f>
        <v>18710.688751420344</v>
      </c>
      <c r="J185" s="213">
        <f>SUM(J173:J182)*(UF_Assumptions_1!J$18/(1-UF_Assumptions_1!J$18))</f>
        <v>19552.669745234263</v>
      </c>
      <c r="K185" s="213">
        <f>SUM(K173:K182)*(UF_Assumptions_1!K$18/(1-UF_Assumptions_1!K$18))</f>
        <v>20432.539883769801</v>
      </c>
      <c r="L185" s="56">
        <f>B185/((SUM(B173:B182)+B185))</f>
        <v>3.0000000000000002E-2</v>
      </c>
      <c r="M185" s="213"/>
    </row>
    <row r="186" spans="1:13">
      <c r="A186" s="212" t="s">
        <v>218</v>
      </c>
      <c r="B186" s="13">
        <f>UF_Assumptions_1!$B$28/1000000</f>
        <v>2085.3611888863684</v>
      </c>
      <c r="C186" s="13">
        <f>UF_Assumptions_1!$B$28/1000000</f>
        <v>2085.3611888863684</v>
      </c>
      <c r="D186" s="13">
        <f>UF_Assumptions_1!$B$28/1000000</f>
        <v>2085.3611888863684</v>
      </c>
      <c r="E186" s="13">
        <f>UF_Assumptions_1!$B$28/1000000</f>
        <v>2085.3611888863684</v>
      </c>
      <c r="F186" s="13">
        <f>UF_Assumptions_1!$B$28/1000000</f>
        <v>2085.3611888863684</v>
      </c>
      <c r="G186" s="13">
        <f>UF_Assumptions_1!$B$28/1000000</f>
        <v>2085.3611888863684</v>
      </c>
      <c r="H186" s="13">
        <f>UF_Assumptions_1!$B$28/1000000</f>
        <v>2085.3611888863684</v>
      </c>
      <c r="I186" s="13">
        <f>UF_Assumptions_1!$B$28/1000000</f>
        <v>2085.3611888863684</v>
      </c>
      <c r="J186" s="13">
        <f>UF_Assumptions_1!$B$28/1000000</f>
        <v>2085.3611888863684</v>
      </c>
      <c r="K186" s="13">
        <f>UF_Assumptions_1!$B$28/1000000</f>
        <v>2085.3611888863684</v>
      </c>
      <c r="L186" s="13"/>
      <c r="M186" s="13"/>
    </row>
    <row r="187" spans="1:13">
      <c r="A187" s="211" t="s">
        <v>276</v>
      </c>
      <c r="B187" s="281">
        <f>((UF_Calculations_2!B47-UF_Assumptions_1!$B$60)/UF_Assumptions_1!$B$63)+UF_Assumptions_1!$B$61</f>
        <v>4670.5768069649057</v>
      </c>
      <c r="C187" s="281">
        <f>((UF_Calculations_2!C47-UF_Assumptions_1!$B$60)/UF_Assumptions_1!$B$63)+UF_Assumptions_1!$B$61</f>
        <v>4819.5295395068943</v>
      </c>
      <c r="D187" s="281">
        <f>((UF_Calculations_2!D47-UF_Assumptions_1!$B$60)/UF_Assumptions_1!$B$63)+UF_Assumptions_1!$B$61</f>
        <v>4994.5054853150114</v>
      </c>
      <c r="E187" s="281">
        <f>((UF_Calculations_2!E47-UF_Assumptions_1!$B$60)/UF_Assumptions_1!$B$63)+UF_Assumptions_1!$B$61</f>
        <v>5155.0847722233857</v>
      </c>
      <c r="F187" s="281">
        <f>((UF_Calculations_2!F47-UF_Assumptions_1!$B$60)/UF_Assumptions_1!$B$63)+UF_Assumptions_1!$B$61</f>
        <v>5300.4496047818739</v>
      </c>
      <c r="G187" s="281">
        <f>((UF_Calculations_2!G47-UF_Assumptions_1!$B$60)/UF_Assumptions_1!$B$63)+UF_Assumptions_1!$B$61</f>
        <v>5455.9060775153366</v>
      </c>
      <c r="H187" s="281">
        <f>((UF_Calculations_2!H47-UF_Assumptions_1!$B$60)/UF_Assumptions_1!$B$63)+UF_Assumptions_1!$B$61</f>
        <v>5612.6693931788895</v>
      </c>
      <c r="I187" s="281">
        <f>((UF_Calculations_2!I47-UF_Assumptions_1!$B$60)/UF_Assumptions_1!$B$63)+UF_Assumptions_1!$B$61</f>
        <v>5773.1455240906425</v>
      </c>
      <c r="J187" s="281">
        <f>((UF_Calculations_2!J47-UF_Assumptions_1!$B$60)/UF_Assumptions_1!$B$63)+UF_Assumptions_1!$B$61</f>
        <v>5931.9657264595007</v>
      </c>
      <c r="K187" s="281">
        <f>((UF_Calculations_2!K47-UF_Assumptions_1!$B$60)/UF_Assumptions_1!$B$63)+UF_Assumptions_1!$B$61</f>
        <v>6088.5147588991922</v>
      </c>
      <c r="L187" s="13"/>
      <c r="M187" s="213"/>
    </row>
    <row r="188" spans="1:13">
      <c r="A188" s="8" t="s">
        <v>14</v>
      </c>
      <c r="B188" s="88">
        <f>SUM(B173:B187)</f>
        <v>508186.973448848</v>
      </c>
      <c r="C188" s="88">
        <f t="shared" ref="C188:K188" si="25">SUM(C173:C187)</f>
        <v>530286.28103098564</v>
      </c>
      <c r="D188" s="88">
        <f t="shared" si="25"/>
        <v>554454.44716712285</v>
      </c>
      <c r="E188" s="88">
        <f t="shared" si="25"/>
        <v>579187.37265059305</v>
      </c>
      <c r="F188" s="88">
        <f t="shared" si="25"/>
        <v>604549.35020992416</v>
      </c>
      <c r="G188" s="88">
        <f t="shared" si="25"/>
        <v>631017.75905699201</v>
      </c>
      <c r="H188" s="88">
        <f t="shared" si="25"/>
        <v>658616.67473686754</v>
      </c>
      <c r="I188" s="88">
        <f t="shared" si="25"/>
        <v>688061.9334582272</v>
      </c>
      <c r="J188" s="88">
        <f t="shared" si="25"/>
        <v>718810.92897836166</v>
      </c>
      <c r="K188" s="88">
        <f t="shared" si="25"/>
        <v>750934.56700184674</v>
      </c>
      <c r="L188" s="88"/>
      <c r="M188" s="88"/>
    </row>
    <row r="189" spans="1:13" s="2" customFormat="1">
      <c r="A189" s="392" t="s">
        <v>557</v>
      </c>
      <c r="B189" s="386"/>
      <c r="C189" s="386"/>
      <c r="D189" s="386"/>
      <c r="E189" s="386"/>
      <c r="F189" s="386"/>
      <c r="G189" s="386"/>
      <c r="H189" s="386"/>
      <c r="I189" s="386"/>
      <c r="J189" s="386"/>
      <c r="K189" s="386"/>
      <c r="L189" s="386"/>
    </row>
    <row r="190" spans="1:13">
      <c r="A190" s="264" t="s">
        <v>4</v>
      </c>
      <c r="B190" s="387">
        <f>Baseline!J22*UF_Assumptions_1!B4*UF_Assumptions_1!E4*UF_Assumptions_1!C4*UF_Assumptions_1!J4*UF_Assumptions_1!G4*UF_Assumptions_1!F4</f>
        <v>157551.65832003992</v>
      </c>
      <c r="C190" s="388">
        <f>B190*(1+UF_Assumptions_2!B16)</f>
        <v>164483.93128612169</v>
      </c>
      <c r="D190" s="388">
        <f>C190*(1+UF_Assumptions_2!C16)</f>
        <v>172050.1921252833</v>
      </c>
      <c r="E190" s="388">
        <f>D190*(1+UF_Assumptions_2!D16)</f>
        <v>179792.45077092104</v>
      </c>
      <c r="F190" s="388">
        <f>E190*(1+UF_Assumptions_2!E16)</f>
        <v>187703.31860484157</v>
      </c>
      <c r="G190" s="388">
        <f>F190*(1+UF_Assumptions_2!F16)</f>
        <v>195962.2646234546</v>
      </c>
      <c r="H190" s="388">
        <f>G190*(1+UF_Assumptions_2!G16)</f>
        <v>204584.6042668866</v>
      </c>
      <c r="I190" s="388">
        <f>H190*(1+UF_Assumptions_2!H16)</f>
        <v>213790.91145889647</v>
      </c>
      <c r="J190" s="388">
        <f>I190*(1+UF_Assumptions_2!I16)</f>
        <v>223411.50247454681</v>
      </c>
      <c r="K190" s="388">
        <f>J190*(1+UF_Assumptions_2!J16)</f>
        <v>233465.0200859014</v>
      </c>
      <c r="L190" s="388"/>
      <c r="M190" s="13"/>
    </row>
    <row r="191" spans="1:13">
      <c r="A191" s="264" t="s">
        <v>5</v>
      </c>
      <c r="B191" s="387">
        <f>Baseline!J23*UF_Assumptions_1!B5*UF_Assumptions_1!E5*UF_Assumptions_1!C5*UF_Assumptions_1!J5*UF_Assumptions_1!G5*UF_Assumptions_1!F5</f>
        <v>112776.06196739181</v>
      </c>
      <c r="C191" s="388">
        <f>B191*(1+UF_Assumptions_2!B17)</f>
        <v>117738.20869395706</v>
      </c>
      <c r="D191" s="388">
        <f>C191*(1+UF_Assumptions_2!C17)</f>
        <v>123154.16629387908</v>
      </c>
      <c r="E191" s="388">
        <f>D191*(1+UF_Assumptions_2!D17)</f>
        <v>128696.10377710364</v>
      </c>
      <c r="F191" s="388">
        <f>E191*(1+UF_Assumptions_2!E17)</f>
        <v>134358.7323432962</v>
      </c>
      <c r="G191" s="388">
        <f>F191*(1+UF_Assumptions_2!F17)</f>
        <v>140270.51656640123</v>
      </c>
      <c r="H191" s="388">
        <f>G191*(1+UF_Assumptions_2!G17)</f>
        <v>146442.41929532288</v>
      </c>
      <c r="I191" s="388">
        <f>H191*(1+UF_Assumptions_2!H17)</f>
        <v>153032.3281636124</v>
      </c>
      <c r="J191" s="388">
        <f>I191*(1+UF_Assumptions_2!I17)</f>
        <v>159918.78293097494</v>
      </c>
      <c r="K191" s="388">
        <f>J191*(1+UF_Assumptions_2!J17)</f>
        <v>167115.12816286879</v>
      </c>
      <c r="L191" s="388"/>
      <c r="M191" s="13"/>
    </row>
    <row r="192" spans="1:13">
      <c r="A192" s="264" t="s">
        <v>6</v>
      </c>
      <c r="B192" s="387">
        <f>Baseline!J24*UF_Assumptions_1!B6*UF_Assumptions_1!E6*UF_Assumptions_1!C6*UF_Assumptions_1!J6*UF_Assumptions_1!G6*UF_Assumptions_1!F6</f>
        <v>13490.92824527821</v>
      </c>
      <c r="C192" s="388">
        <f>B192*(1+UF_Assumptions_2!B18)</f>
        <v>14084.529088070452</v>
      </c>
      <c r="D192" s="388">
        <f>C192*(1+UF_Assumptions_2!C18)</f>
        <v>14732.417426121694</v>
      </c>
      <c r="E192" s="388">
        <f>D192*(1+UF_Assumptions_2!D18)</f>
        <v>15395.376210297169</v>
      </c>
      <c r="F192" s="388">
        <f>E192*(1+UF_Assumptions_2!E18)</f>
        <v>16072.772763550245</v>
      </c>
      <c r="G192" s="388">
        <f>F192*(1+UF_Assumptions_2!F18)</f>
        <v>16779.974765146457</v>
      </c>
      <c r="H192" s="388">
        <f>G192*(1+UF_Assumptions_2!G18)</f>
        <v>17518.2936548129</v>
      </c>
      <c r="I192" s="388">
        <f>H192*(1+UF_Assumptions_2!H18)</f>
        <v>18306.616869279478</v>
      </c>
      <c r="J192" s="388">
        <f>I192*(1+UF_Assumptions_2!I18)</f>
        <v>19130.414628397055</v>
      </c>
      <c r="K192" s="388">
        <f>J192*(1+UF_Assumptions_2!J18)</f>
        <v>19991.28328667492</v>
      </c>
      <c r="L192" s="388"/>
      <c r="M192" s="13"/>
    </row>
    <row r="193" spans="1:13">
      <c r="A193" s="264" t="s">
        <v>7</v>
      </c>
      <c r="B193" s="387">
        <f>Baseline!J25*UF_Assumptions_1!B7*UF_Assumptions_1!E7*UF_Assumptions_1!C7*UF_Assumptions_1!J7*UF_Assumptions_1!G7*UF_Assumptions_1!F7</f>
        <v>22664.330431764425</v>
      </c>
      <c r="C193" s="388">
        <f>B193*(1+UF_Assumptions_2!B19)</f>
        <v>23661.560970762061</v>
      </c>
      <c r="D193" s="388">
        <f>C193*(1+UF_Assumptions_2!C19)</f>
        <v>24749.992775417115</v>
      </c>
      <c r="E193" s="388">
        <f>D193*(1+UF_Assumptions_2!D19)</f>
        <v>25863.742450310885</v>
      </c>
      <c r="F193" s="388">
        <f>E193*(1+UF_Assumptions_2!E19)</f>
        <v>27001.747118124564</v>
      </c>
      <c r="G193" s="388">
        <f>F193*(1+UF_Assumptions_2!F19)</f>
        <v>28189.823991322046</v>
      </c>
      <c r="H193" s="388">
        <f>G193*(1+UF_Assumptions_2!G19)</f>
        <v>29430.176246940217</v>
      </c>
      <c r="I193" s="388">
        <f>H193*(1+UF_Assumptions_2!H19)</f>
        <v>30754.534178052523</v>
      </c>
      <c r="J193" s="388">
        <f>I193*(1+UF_Assumptions_2!I19)</f>
        <v>32138.488216064885</v>
      </c>
      <c r="K193" s="388">
        <f>J193*(1+UF_Assumptions_2!J19)</f>
        <v>33584.720185787803</v>
      </c>
      <c r="L193" s="388"/>
      <c r="M193" s="13"/>
    </row>
    <row r="194" spans="1:13">
      <c r="A194" s="264" t="s">
        <v>8</v>
      </c>
      <c r="B194" s="387">
        <f>Baseline!J26*UF_Assumptions_1!B8*UF_Assumptions_1!E8*UF_Assumptions_1!C8*UF_Assumptions_1!K8*UF_Assumptions_1!J8*UF_Assumptions_1!G8*UF_Assumptions_1!F8</f>
        <v>53413.090581679266</v>
      </c>
      <c r="C194" s="388">
        <f>B194*(1+UF_Assumptions_2!B20)</f>
        <v>55763.266567273153</v>
      </c>
      <c r="D194" s="388">
        <f>C194*(1+UF_Assumptions_2!C20)</f>
        <v>58328.37682936772</v>
      </c>
      <c r="E194" s="388">
        <f>D194*(1+UF_Assumptions_2!D20)</f>
        <v>60953.153786689261</v>
      </c>
      <c r="F194" s="388">
        <f>E194*(1+UF_Assumptions_2!E20)</f>
        <v>63635.092553303592</v>
      </c>
      <c r="G194" s="388">
        <f>F194*(1+UF_Assumptions_2!F20)</f>
        <v>66435.036625648951</v>
      </c>
      <c r="H194" s="388">
        <f>G194*(1+UF_Assumptions_2!G20)</f>
        <v>69358.178237177504</v>
      </c>
      <c r="I194" s="388">
        <f>H194*(1+UF_Assumptions_2!H20)</f>
        <v>72479.296257850481</v>
      </c>
      <c r="J194" s="388">
        <f>I194*(1+UF_Assumptions_2!I20)</f>
        <v>75740.864589453748</v>
      </c>
      <c r="K194" s="388">
        <f>J194*(1+UF_Assumptions_2!J20)</f>
        <v>79149.203495979164</v>
      </c>
      <c r="L194" s="388"/>
      <c r="M194" s="13"/>
    </row>
    <row r="195" spans="1:13">
      <c r="A195" s="264" t="s">
        <v>9</v>
      </c>
      <c r="B195" s="387">
        <f>Baseline!J27*UF_Assumptions_1!B9*UF_Assumptions_1!E9*UF_Assumptions_1!C9*UF_Assumptions_1!J9*UF_Assumptions_1!G9*UF_Assumptions_1!F9</f>
        <v>18962.718845578111</v>
      </c>
      <c r="C195" s="388">
        <f>B195*(1+UF_Assumptions_2!B21)</f>
        <v>19797.07847478355</v>
      </c>
      <c r="D195" s="388">
        <f>C195*(1+UF_Assumptions_2!C21)</f>
        <v>20707.744084623595</v>
      </c>
      <c r="E195" s="388">
        <f>D195*(1+UF_Assumptions_2!D21)</f>
        <v>21639.592568431653</v>
      </c>
      <c r="F195" s="388">
        <f>E195*(1+UF_Assumptions_2!E21)</f>
        <v>22591.734641442647</v>
      </c>
      <c r="G195" s="388">
        <f>F195*(1+UF_Assumptions_2!F21)</f>
        <v>23585.770965666125</v>
      </c>
      <c r="H195" s="388">
        <f>G195*(1+UF_Assumptions_2!G21)</f>
        <v>24623.544888155437</v>
      </c>
      <c r="I195" s="388">
        <f>H195*(1+UF_Assumptions_2!H21)</f>
        <v>25731.604408122428</v>
      </c>
      <c r="J195" s="388">
        <f>I195*(1+UF_Assumptions_2!I21)</f>
        <v>26889.526606487936</v>
      </c>
      <c r="K195" s="388">
        <f>J195*(1+UF_Assumptions_2!J21)</f>
        <v>28099.555303779893</v>
      </c>
      <c r="L195" s="388"/>
      <c r="M195" s="13"/>
    </row>
    <row r="196" spans="1:13">
      <c r="A196" s="264" t="s">
        <v>10</v>
      </c>
      <c r="B196" s="387">
        <f>Baseline!J28*UF_Assumptions_1!B10*UF_Assumptions_1!E10*UF_Assumptions_1!C10*UF_Assumptions_1!J10*UF_Assumptions_1!G10*UF_Assumptions_1!F10</f>
        <v>18140.285607789145</v>
      </c>
      <c r="C196" s="388">
        <f>B196*(1+UF_Assumptions_2!B22)</f>
        <v>18938.458174531868</v>
      </c>
      <c r="D196" s="388">
        <f>C196*(1+UF_Assumptions_2!C22)</f>
        <v>19809.627250560334</v>
      </c>
      <c r="E196" s="388">
        <f>D196*(1+UF_Assumptions_2!D22)</f>
        <v>20701.060476835548</v>
      </c>
      <c r="F196" s="388">
        <f>E196*(1+UF_Assumptions_2!E22)</f>
        <v>21611.907137816313</v>
      </c>
      <c r="G196" s="388">
        <f>F196*(1+UF_Assumptions_2!F22)</f>
        <v>22562.831051880232</v>
      </c>
      <c r="H196" s="388">
        <f>G196*(1+UF_Assumptions_2!G22)</f>
        <v>23555.595618162963</v>
      </c>
      <c r="I196" s="388">
        <f>H196*(1+UF_Assumptions_2!H22)</f>
        <v>24615.597420980295</v>
      </c>
      <c r="J196" s="388">
        <f>I196*(1+UF_Assumptions_2!I22)</f>
        <v>25723.299304924407</v>
      </c>
      <c r="K196" s="388">
        <f>J196*(1+UF_Assumptions_2!J22)</f>
        <v>26880.847773646004</v>
      </c>
      <c r="L196" s="388"/>
      <c r="M196" s="13"/>
    </row>
    <row r="197" spans="1:13">
      <c r="A197" s="264" t="s">
        <v>18</v>
      </c>
      <c r="B197" s="387">
        <f>Baseline!J29*UF_Assumptions_1!B11*UF_Assumptions_1!E11*UF_Assumptions_1!C11*UF_Assumptions_1!J11*UF_Assumptions_1!G11*UF_Assumptions_1!F11</f>
        <v>26936.689422329699</v>
      </c>
      <c r="C197" s="388">
        <f>B197*(1+UF_Assumptions_2!B23)</f>
        <v>28121.903756912205</v>
      </c>
      <c r="D197" s="388">
        <f>C197*(1+UF_Assumptions_2!C23)</f>
        <v>29415.511329730169</v>
      </c>
      <c r="E197" s="388">
        <f>D197*(1+UF_Assumptions_2!D23)</f>
        <v>30739.209339568024</v>
      </c>
      <c r="F197" s="388">
        <f>E197*(1+UF_Assumptions_2!E23)</f>
        <v>32091.73455050902</v>
      </c>
      <c r="G197" s="388">
        <f>F197*(1+UF_Assumptions_2!F23)</f>
        <v>33503.770870731416</v>
      </c>
      <c r="H197" s="388">
        <f>G197*(1+UF_Assumptions_2!G23)</f>
        <v>34977.936789043597</v>
      </c>
      <c r="I197" s="388">
        <f>H197*(1+UF_Assumptions_2!H23)</f>
        <v>36551.943944550556</v>
      </c>
      <c r="J197" s="388">
        <f>I197*(1+UF_Assumptions_2!I23)</f>
        <v>38196.781422055326</v>
      </c>
      <c r="K197" s="388">
        <f>J197*(1+UF_Assumptions_2!J23)</f>
        <v>39915.636586047811</v>
      </c>
      <c r="L197" s="388"/>
      <c r="M197" s="13"/>
    </row>
    <row r="198" spans="1:13">
      <c r="A198" s="264" t="s">
        <v>16</v>
      </c>
      <c r="B198" s="387">
        <f>Baseline!J30*UF_Assumptions_1!B12*UF_Assumptions_1!E12*UF_Assumptions_1!C12*UF_Assumptions_1!J12*UF_Assumptions_1!G12*UF_Assumptions_1!F12</f>
        <v>9438.0617106060163</v>
      </c>
      <c r="C198" s="388">
        <f>B198*(1+UF_Assumptions_2!B24)</f>
        <v>9853.3364258726815</v>
      </c>
      <c r="D198" s="388">
        <f>C198*(1+UF_Assumptions_2!C24)</f>
        <v>10306.589901462825</v>
      </c>
      <c r="E198" s="388">
        <f>D198*(1+UF_Assumptions_2!D24)</f>
        <v>10770.386447028652</v>
      </c>
      <c r="F198" s="388">
        <f>E198*(1+UF_Assumptions_2!E24)</f>
        <v>11244.283450697912</v>
      </c>
      <c r="G198" s="388">
        <f>F198*(1+UF_Assumptions_2!F24)</f>
        <v>11739.03192252862</v>
      </c>
      <c r="H198" s="388">
        <f>G198*(1+UF_Assumptions_2!G24)</f>
        <v>12255.549327119879</v>
      </c>
      <c r="I198" s="388">
        <f>H198*(1+UF_Assumptions_2!H24)</f>
        <v>12807.049046840273</v>
      </c>
      <c r="J198" s="388">
        <f>I198*(1+UF_Assumptions_2!I24)</f>
        <v>13383.366253948085</v>
      </c>
      <c r="K198" s="388">
        <f>J198*(1+UF_Assumptions_2!J24)</f>
        <v>13985.617735375748</v>
      </c>
      <c r="L198" s="388"/>
      <c r="M198" s="13"/>
    </row>
    <row r="199" spans="1:13">
      <c r="A199" s="264" t="s">
        <v>11</v>
      </c>
      <c r="B199" s="387">
        <f>Baseline!J31*UF_Assumptions_1!B13*UF_Assumptions_1!E13*UF_Assumptions_1!C13*UF_Assumptions_1!J13*UF_Assumptions_1!G13*UF_Assumptions_1!F13</f>
        <v>5684.0479637989774</v>
      </c>
      <c r="C199" s="388">
        <f>B199*(1+UF_Assumptions_2!B25)</f>
        <v>5934.1460742061327</v>
      </c>
      <c r="D199" s="388">
        <f>C199*(1+UF_Assumptions_2!C25)</f>
        <v>6207.1167936196152</v>
      </c>
      <c r="E199" s="388">
        <f>D199*(1+UF_Assumptions_2!D25)</f>
        <v>6486.4370493324977</v>
      </c>
      <c r="F199" s="388">
        <f>E199*(1+UF_Assumptions_2!E25)</f>
        <v>6771.8402795031279</v>
      </c>
      <c r="G199" s="388">
        <f>F199*(1+UF_Assumptions_2!F25)</f>
        <v>7069.8012518012656</v>
      </c>
      <c r="H199" s="388">
        <f>G199*(1+UF_Assumptions_2!G25)</f>
        <v>7380.8725068805215</v>
      </c>
      <c r="I199" s="388">
        <f>H199*(1+UF_Assumptions_2!H25)</f>
        <v>7713.0117696901443</v>
      </c>
      <c r="J199" s="388">
        <f>I199*(1+UF_Assumptions_2!I25)</f>
        <v>8060.0972993262003</v>
      </c>
      <c r="K199" s="388">
        <f>J199*(1+UF_Assumptions_2!J25)</f>
        <v>8422.8016777958783</v>
      </c>
      <c r="L199" s="388"/>
      <c r="M199" s="13"/>
    </row>
    <row r="200" spans="1:13">
      <c r="A200" s="264" t="s">
        <v>13</v>
      </c>
      <c r="B200" s="387">
        <f>B132</f>
        <v>13015.934321462773</v>
      </c>
      <c r="C200" s="387">
        <f t="shared" ref="C200:K200" si="26">C132</f>
        <v>13476.024721270978</v>
      </c>
      <c r="D200" s="387">
        <f t="shared" si="26"/>
        <v>13923.220163679234</v>
      </c>
      <c r="E200" s="387">
        <f t="shared" si="26"/>
        <v>14458.753862211928</v>
      </c>
      <c r="F200" s="387">
        <f t="shared" si="26"/>
        <v>15047.036138730071</v>
      </c>
      <c r="G200" s="387">
        <f t="shared" si="26"/>
        <v>15608.734786912868</v>
      </c>
      <c r="H200" s="387">
        <f t="shared" si="26"/>
        <v>16159.948137089295</v>
      </c>
      <c r="I200" s="387">
        <f t="shared" si="26"/>
        <v>16766.700865673727</v>
      </c>
      <c r="J200" s="387">
        <f t="shared" si="26"/>
        <v>17396.231249972214</v>
      </c>
      <c r="K200" s="387">
        <f t="shared" si="26"/>
        <v>18049.393987394586</v>
      </c>
      <c r="L200" s="388"/>
      <c r="M200" s="13"/>
    </row>
    <row r="201" spans="1:13">
      <c r="A201" s="264" t="s">
        <v>71</v>
      </c>
      <c r="B201" s="387">
        <f>B99</f>
        <v>28791.565066927964</v>
      </c>
      <c r="C201" s="388">
        <f>B201*(1+UF_Assumptions_2!B27)</f>
        <v>30058.393929872796</v>
      </c>
      <c r="D201" s="388">
        <f>C201*(1+UF_Assumptions_2!C27)</f>
        <v>31441.080050646946</v>
      </c>
      <c r="E201" s="388">
        <f>D201*(1+UF_Assumptions_2!D27)</f>
        <v>32855.928652926057</v>
      </c>
      <c r="F201" s="388">
        <f>E201*(1+UF_Assumptions_2!E27)</f>
        <v>34301.589513654806</v>
      </c>
      <c r="G201" s="388">
        <f>F201*(1+UF_Assumptions_2!F27)</f>
        <v>35810.859452255616</v>
      </c>
      <c r="H201" s="388">
        <f>G201*(1+UF_Assumptions_2!G27)</f>
        <v>37386.537268154862</v>
      </c>
      <c r="I201" s="388">
        <f>H201*(1+UF_Assumptions_2!H27)</f>
        <v>39068.931445221824</v>
      </c>
      <c r="J201" s="388">
        <f>I201*(1+UF_Assumptions_2!I27)</f>
        <v>40827.033360256806</v>
      </c>
      <c r="K201" s="388">
        <f>J201*(1+UF_Assumptions_2!J27)</f>
        <v>42664.249861468357</v>
      </c>
      <c r="L201" s="388"/>
      <c r="M201" s="13"/>
    </row>
    <row r="202" spans="1:13">
      <c r="A202" s="393" t="s">
        <v>166</v>
      </c>
      <c r="B202" s="387">
        <f>SUM(B190:B199)*(UF_Assumptions_1!B$19/(1-UF_Assumptions_1!B$19))</f>
        <v>28024.970623165245</v>
      </c>
      <c r="C202" s="388">
        <f>SUM(C190:C199)*(UF_Assumptions_1!C$19/(1-UF_Assumptions_1!C$19))</f>
        <v>29258.069330584523</v>
      </c>
      <c r="D202" s="388">
        <f>SUM(D190:D199)*(UF_Assumptions_1!D$19/(1-UF_Assumptions_1!D$19))</f>
        <v>30603.940519791409</v>
      </c>
      <c r="E202" s="388">
        <f>SUM(E190:E199)*(UF_Assumptions_1!E$19/(1-UF_Assumptions_1!E$19))</f>
        <v>31981.117843182019</v>
      </c>
      <c r="F202" s="388">
        <f>SUM(F190:F199)*(UF_Assumptions_1!F$19/(1-UF_Assumptions_1!F$19))</f>
        <v>33388.287028282029</v>
      </c>
      <c r="G202" s="388">
        <f>SUM(G190:G199)*(UF_Assumptions_1!G$19/(1-UF_Assumptions_1!G$19))</f>
        <v>34857.371657526448</v>
      </c>
      <c r="H202" s="388">
        <f>SUM(H190:H199)*(UF_Assumptions_1!H$19/(1-UF_Assumptions_1!H$19))</f>
        <v>36391.096010457601</v>
      </c>
      <c r="I202" s="388">
        <f>SUM(I190:I199)*(UF_Assumptions_1!I$19/(1-UF_Assumptions_1!I$19))</f>
        <v>38028.695330928196</v>
      </c>
      <c r="J202" s="388">
        <f>SUM(J190:J199)*(UF_Assumptions_1!J$19/(1-UF_Assumptions_1!J$19))</f>
        <v>39739.986620819953</v>
      </c>
      <c r="K202" s="388">
        <f>SUM(K190:K199)*(UF_Assumptions_1!K$19/(1-UF_Assumptions_1!K$19))</f>
        <v>41528.286018756851</v>
      </c>
      <c r="L202" s="389">
        <f>B202/((SUM(B190:B199)+B202))</f>
        <v>0.06</v>
      </c>
      <c r="M202" s="13"/>
    </row>
    <row r="203" spans="1:13">
      <c r="A203" s="393" t="s">
        <v>218</v>
      </c>
      <c r="B203" s="387">
        <f>UF_Assumptions_1!$B$28*UF_Assumptions_1!$B$30/1000000</f>
        <v>1042.6805944431842</v>
      </c>
      <c r="C203" s="388">
        <f>UF_Assumptions_1!$B$28*UF_Assumptions_1!$B$30/1000000</f>
        <v>1042.6805944431842</v>
      </c>
      <c r="D203" s="388">
        <f>UF_Assumptions_1!$B$28*UF_Assumptions_1!$B$30/1000000</f>
        <v>1042.6805944431842</v>
      </c>
      <c r="E203" s="388">
        <f>UF_Assumptions_1!$B$28*UF_Assumptions_1!$B$30/1000000</f>
        <v>1042.6805944431842</v>
      </c>
      <c r="F203" s="388">
        <f>UF_Assumptions_1!$B$28*UF_Assumptions_1!$B$30/1000000</f>
        <v>1042.6805944431842</v>
      </c>
      <c r="G203" s="388">
        <f>UF_Assumptions_1!$B$28*UF_Assumptions_1!$B$30/1000000</f>
        <v>1042.6805944431842</v>
      </c>
      <c r="H203" s="388">
        <f>UF_Assumptions_1!$B$28*UF_Assumptions_1!$B$30/1000000</f>
        <v>1042.6805944431842</v>
      </c>
      <c r="I203" s="388">
        <f>UF_Assumptions_1!$B$28*UF_Assumptions_1!$B$30/1000000</f>
        <v>1042.6805944431842</v>
      </c>
      <c r="J203" s="388">
        <f>UF_Assumptions_1!$B$28*UF_Assumptions_1!$B$30/1000000</f>
        <v>1042.6805944431842</v>
      </c>
      <c r="K203" s="388">
        <f>UF_Assumptions_1!$B$28*UF_Assumptions_1!$B$30/1000000</f>
        <v>1042.6805944431842</v>
      </c>
      <c r="L203" s="388"/>
      <c r="M203" s="13"/>
    </row>
    <row r="204" spans="1:13">
      <c r="A204" s="394" t="s">
        <v>276</v>
      </c>
      <c r="B204" s="387">
        <f>((UF_Calculations_2!B103-UF_Assumptions_1!$B$60)/UF_Assumptions_1!$B$63)+UF_Assumptions_1!$B$61</f>
        <v>3527.1936126520741</v>
      </c>
      <c r="C204" s="387">
        <f>((UF_Calculations_2!C103-UF_Assumptions_1!$B$60)/UF_Assumptions_1!$B$63)+UF_Assumptions_1!$B$61</f>
        <v>3649.4580630618084</v>
      </c>
      <c r="D204" s="387">
        <f>((UF_Calculations_2!D103-UF_Assumptions_1!$B$60)/UF_Assumptions_1!$B$63)+UF_Assumptions_1!$B$61</f>
        <v>3792.28862438551</v>
      </c>
      <c r="E204" s="387">
        <f>((UF_Calculations_2!E103-UF_Assumptions_1!$B$60)/UF_Assumptions_1!$B$63)+UF_Assumptions_1!$B$61</f>
        <v>3924.3598642894713</v>
      </c>
      <c r="F204" s="387">
        <f>((UF_Calculations_2!F103-UF_Assumptions_1!$B$60)/UF_Assumptions_1!$B$63)+UF_Assumptions_1!$B$61</f>
        <v>4044.9926320070008</v>
      </c>
      <c r="G204" s="387">
        <f>((UF_Calculations_2!G103-UF_Assumptions_1!$B$60)/UF_Assumptions_1!$B$63)+UF_Assumptions_1!$B$61</f>
        <v>4173.4764881924393</v>
      </c>
      <c r="H204" s="387">
        <f>((UF_Calculations_2!H103-UF_Assumptions_1!$B$60)/UF_Assumptions_1!$B$63)+UF_Assumptions_1!$B$61</f>
        <v>4303.7208915921128</v>
      </c>
      <c r="I204" s="387">
        <f>((UF_Calculations_2!I103-UF_Assumptions_1!$B$60)/UF_Assumptions_1!$B$63)+UF_Assumptions_1!$B$61</f>
        <v>4437.8227308158703</v>
      </c>
      <c r="J204" s="387">
        <f>((UF_Calculations_2!J103-UF_Assumptions_1!$B$60)/UF_Assumptions_1!$B$63)+UF_Assumptions_1!$B$61</f>
        <v>4571.4386225177141</v>
      </c>
      <c r="K204" s="387">
        <f>((UF_Calculations_2!K103-UF_Assumptions_1!$B$60)/UF_Assumptions_1!$B$63)+UF_Assumptions_1!$B$61</f>
        <v>4704.067737456101</v>
      </c>
      <c r="L204" s="388"/>
      <c r="M204" s="17"/>
    </row>
    <row r="205" spans="1:13">
      <c r="A205" s="395" t="s">
        <v>14</v>
      </c>
      <c r="B205" s="390">
        <f t="shared" ref="B205:K205" si="27">SUM(B190:B204)</f>
        <v>513460.21731490677</v>
      </c>
      <c r="C205" s="391">
        <f t="shared" si="27"/>
        <v>535861.04615172418</v>
      </c>
      <c r="D205" s="391">
        <f t="shared" si="27"/>
        <v>560264.94476301176</v>
      </c>
      <c r="E205" s="391">
        <f t="shared" si="27"/>
        <v>585300.35369357117</v>
      </c>
      <c r="F205" s="391">
        <f t="shared" si="27"/>
        <v>610907.74935020239</v>
      </c>
      <c r="G205" s="391">
        <f t="shared" si="27"/>
        <v>637591.94561391172</v>
      </c>
      <c r="H205" s="391">
        <f t="shared" si="27"/>
        <v>665411.1537322395</v>
      </c>
      <c r="I205" s="391">
        <f t="shared" si="27"/>
        <v>695127.72448495787</v>
      </c>
      <c r="J205" s="391">
        <f t="shared" si="27"/>
        <v>726170.49417418928</v>
      </c>
      <c r="K205" s="391">
        <f t="shared" si="27"/>
        <v>758598.49249337649</v>
      </c>
      <c r="L205" s="391"/>
      <c r="M205" s="88"/>
    </row>
    <row r="206" spans="1:13" s="2" customFormat="1">
      <c r="A206" s="2" t="s">
        <v>552</v>
      </c>
    </row>
    <row r="207" spans="1:13">
      <c r="A207" t="s">
        <v>4</v>
      </c>
      <c r="B207" s="13">
        <f>Baseline!J22*UF_Assumptions_1!B4*UF_Assumptions_1!E4*UF_Assumptions_1!H4*UF_Assumptions_1!C4*UF_Assumptions_1!I4*UF_Assumptions_1!G4*UF_Assumptions_1!F4</f>
        <v>158762.07942392305</v>
      </c>
      <c r="C207" s="13">
        <f>B207*(1+UF_Assumptions_2!B3)</f>
        <v>167335.23171281489</v>
      </c>
      <c r="D207" s="13">
        <f>C207*(1+UF_Assumptions_2!C3)</f>
        <v>176203.99899359405</v>
      </c>
      <c r="E207" s="13">
        <f>D207*(1+UF_Assumptions_2!D3)</f>
        <v>185895.21893824171</v>
      </c>
      <c r="F207" s="13">
        <f>E207*(1+UF_Assumptions_2!E3)</f>
        <v>196677.14163665974</v>
      </c>
      <c r="G207" s="13">
        <f>F207*(1+UF_Assumptions_2!F3)</f>
        <v>207297.70728503939</v>
      </c>
      <c r="H207" s="13">
        <f>G207*(1+UF_Assumptions_2!G3)</f>
        <v>218491.78347843152</v>
      </c>
      <c r="I207" s="13">
        <f>H207*(1+UF_Assumptions_2!H3)</f>
        <v>230581.66216423808</v>
      </c>
      <c r="J207" s="13">
        <f>I207*(1+UF_Assumptions_2!I3)</f>
        <v>243340.51413732595</v>
      </c>
      <c r="K207" s="13">
        <f>J207*(1+UF_Assumptions_2!J3)</f>
        <v>256805.35591959135</v>
      </c>
      <c r="L207" s="13"/>
      <c r="M207" s="13"/>
    </row>
    <row r="208" spans="1:13">
      <c r="A208" t="s">
        <v>5</v>
      </c>
      <c r="B208" s="13">
        <f>Baseline!J23*UF_Assumptions_1!B5*UF_Assumptions_1!E5*UF_Assumptions_1!H5*UF_Assumptions_1!C5*UF_Assumptions_1!I5*UF_Assumptions_1!G5*UF_Assumptions_1!F5</f>
        <v>115850.48024547381</v>
      </c>
      <c r="C208" s="13">
        <f>B208*(1+UF_Assumptions_2!B4)</f>
        <v>121643.00425774751</v>
      </c>
      <c r="D208" s="13">
        <f>C208*(1+UF_Assumptions_2!C4)</f>
        <v>127725.15447063489</v>
      </c>
      <c r="E208" s="13">
        <f>D208*(1+UF_Assumptions_2!D4)</f>
        <v>134494.58765757852</v>
      </c>
      <c r="F208" s="13">
        <f>E208*(1+UF_Assumptions_2!E4)</f>
        <v>141219.31704045745</v>
      </c>
      <c r="G208" s="13">
        <f>F208*(1+UF_Assumptions_2!F4)</f>
        <v>148421.50220952078</v>
      </c>
      <c r="H208" s="13">
        <f>G208*(1+UF_Assumptions_2!G4)</f>
        <v>155990.99882220634</v>
      </c>
      <c r="I208" s="13">
        <f>H208*(1+UF_Assumptions_2!H4)</f>
        <v>163894.54276253146</v>
      </c>
      <c r="J208" s="13">
        <f>I208*(1+UF_Assumptions_2!I4)</f>
        <v>172198.53292916639</v>
      </c>
      <c r="K208" s="13">
        <f>J208*(1+UF_Assumptions_2!J4)</f>
        <v>180923.25859757749</v>
      </c>
      <c r="L208" s="13"/>
      <c r="M208" s="13"/>
    </row>
    <row r="209" spans="1:13">
      <c r="A209" t="s">
        <v>6</v>
      </c>
      <c r="B209" s="13">
        <f>Baseline!J24*UF_Assumptions_1!B6*UF_Assumptions_1!E6*UF_Assumptions_1!H6*UF_Assumptions_1!C6*UF_Assumptions_1!I6*UF_Assumptions_1!G6*UF_Assumptions_1!F6</f>
        <v>13982.840409052773</v>
      </c>
      <c r="C209" s="13">
        <f>B209*(1+UF_Assumptions_2!B5)</f>
        <v>14681.982429505411</v>
      </c>
      <c r="D209" s="13">
        <f>C209*(1+UF_Assumptions_2!C5)</f>
        <v>15416.081550980683</v>
      </c>
      <c r="E209" s="13">
        <f>D209*(1+UF_Assumptions_2!D5)</f>
        <v>16171.469546978737</v>
      </c>
      <c r="F209" s="13">
        <f>E209*(1+UF_Assumptions_2!E5)</f>
        <v>16963.871554780693</v>
      </c>
      <c r="G209" s="13">
        <f>F209*(1+UF_Assumptions_2!F5)</f>
        <v>17812.065132519729</v>
      </c>
      <c r="H209" s="13">
        <f>G209*(1+UF_Assumptions_2!G5)</f>
        <v>18684.856324013195</v>
      </c>
      <c r="I209" s="13">
        <f>H209*(1+UF_Assumptions_2!H5)</f>
        <v>19606.642569331179</v>
      </c>
      <c r="J209" s="13">
        <f>I209*(1+UF_Assumptions_2!I5)</f>
        <v>20573.903602751514</v>
      </c>
      <c r="K209" s="13">
        <f>J209*(1+UF_Assumptions_2!J5)</f>
        <v>21588.88284715392</v>
      </c>
      <c r="L209" s="13"/>
      <c r="M209" s="13"/>
    </row>
    <row r="210" spans="1:13">
      <c r="A210" t="s">
        <v>7</v>
      </c>
      <c r="B210" s="13">
        <f>Baseline!J25*UF_Assumptions_1!B7*UF_Assumptions_1!E7*UF_Assumptions_1!H7*UF_Assumptions_1!C7*UF_Assumptions_1!I7*UF_Assumptions_1!G7*UF_Assumptions_1!F7</f>
        <v>23490.727223778569</v>
      </c>
      <c r="C210" s="13">
        <f>B210*(1+UF_Assumptions_2!B6)</f>
        <v>24406.865585505933</v>
      </c>
      <c r="D210" s="13">
        <f>C210*(1+UF_Assumptions_2!C6)</f>
        <v>25358.733343340664</v>
      </c>
      <c r="E210" s="13">
        <f>D210*(1+UF_Assumptions_2!D6)</f>
        <v>26347.723943730947</v>
      </c>
      <c r="F210" s="13">
        <f>E210*(1+UF_Assumptions_2!E6)</f>
        <v>27375.285177536451</v>
      </c>
      <c r="G210" s="13">
        <f>F210*(1+UF_Assumptions_2!F6)</f>
        <v>28415.546014282838</v>
      </c>
      <c r="H210" s="13">
        <f>G210*(1+UF_Assumptions_2!G6)</f>
        <v>29495.336762825587</v>
      </c>
      <c r="I210" s="13">
        <f>H210*(1+UF_Assumptions_2!H6)</f>
        <v>30625.9913387339</v>
      </c>
      <c r="J210" s="13">
        <f>I210*(1+UF_Assumptions_2!I6)</f>
        <v>31799.987673385367</v>
      </c>
      <c r="K210" s="13">
        <f>J210*(1+UF_Assumptions_2!J6)</f>
        <v>33018.987200865136</v>
      </c>
      <c r="L210" s="13"/>
      <c r="M210" s="13"/>
    </row>
    <row r="211" spans="1:13">
      <c r="A211" t="s">
        <v>8</v>
      </c>
      <c r="B211" s="13">
        <f>Baseline!J26*UF_Assumptions_1!B8*UF_Assumptions_1!D8*UF_Assumptions_1!H8*UF_Assumptions_1!C8*UF_Assumptions_1!K8*UF_Assumptions_1!I8*UF_Assumptions_1!G8*UF_Assumptions_1!F8</f>
        <v>52286.231772280262</v>
      </c>
      <c r="C211" s="13">
        <f>B211*(1+UF_Assumptions_2!B7)</f>
        <v>55005.115824438835</v>
      </c>
      <c r="D211" s="13">
        <f>C211*(1+UF_Assumptions_2!C7)</f>
        <v>57645.3613840119</v>
      </c>
      <c r="E211" s="13">
        <f>D211*(1+UF_Assumptions_2!D7)</f>
        <v>60642.920175980522</v>
      </c>
      <c r="F211" s="13">
        <f>E211*(1+UF_Assumptions_2!E7)</f>
        <v>63796.352025131513</v>
      </c>
      <c r="G211" s="13">
        <f>F211*(1+UF_Assumptions_2!F7)</f>
        <v>67113.76233043836</v>
      </c>
      <c r="H211" s="13">
        <f>G211*(1+UF_Assumptions_2!G7)</f>
        <v>70536.564209290707</v>
      </c>
      <c r="I211" s="13">
        <f>H211*(1+UF_Assumptions_2!H7)</f>
        <v>74180.95336010406</v>
      </c>
      <c r="J211" s="13">
        <f>I211*(1+UF_Assumptions_2!I7)</f>
        <v>78013.635950376105</v>
      </c>
      <c r="K211" s="13">
        <f>J211*(1+UF_Assumptions_2!J7)</f>
        <v>82044.340474478871</v>
      </c>
      <c r="L211" s="13"/>
      <c r="M211" s="13"/>
    </row>
    <row r="212" spans="1:13">
      <c r="A212" s="6" t="s">
        <v>9</v>
      </c>
      <c r="B212" s="17">
        <f>Baseline!J27*UF_Assumptions_1!B9*UF_Assumptions_1!E9*UF_Assumptions_1!H9*UF_Assumptions_1!C9*UF_Assumptions_1!I9*UF_Assumptions_1!G9*UF_Assumptions_1!F9</f>
        <v>19654.145846655058</v>
      </c>
      <c r="C212" s="13">
        <f>B212*(1+UF_Assumptions_2!B8)</f>
        <v>20970.973618380944</v>
      </c>
      <c r="D212" s="13">
        <f>C212*(1+UF_Assumptions_2!C8)</f>
        <v>22334.086903575702</v>
      </c>
      <c r="E212" s="13">
        <f>D212*(1+UF_Assumptions_2!D8)</f>
        <v>23808.136639211702</v>
      </c>
      <c r="F212" s="13">
        <f>E212*(1+UF_Assumptions_2!E8)</f>
        <v>25355.66552076046</v>
      </c>
      <c r="G212" s="13">
        <f>F212*(1+UF_Assumptions_2!F8)</f>
        <v>27054.495110651409</v>
      </c>
      <c r="H212" s="13">
        <f>G212*(1+UF_Assumptions_2!G8)</f>
        <v>28867.146283065053</v>
      </c>
      <c r="I212" s="13">
        <f>H212*(1+UF_Assumptions_2!H8)</f>
        <v>30782.000319841703</v>
      </c>
      <c r="J212" s="13">
        <f>I212*(1+UF_Assumptions_2!I8)</f>
        <v>32823.873007724535</v>
      </c>
      <c r="K212" s="13">
        <f>J212*(1+UF_Assumptions_2!J8)</f>
        <v>35001.18991723693</v>
      </c>
      <c r="L212" s="13"/>
      <c r="M212" s="13"/>
    </row>
    <row r="213" spans="1:13" s="6" customFormat="1">
      <c r="A213" s="6" t="s">
        <v>10</v>
      </c>
      <c r="B213" s="17">
        <f>Baseline!J28*UF_Assumptions_1!B10*UF_Assumptions_1!D10*UF_Assumptions_1!H10*UF_Assumptions_1!C10*UF_Assumptions_1!I10*UF_Assumptions_1!G10*UF_Assumptions_1!F10</f>
        <v>17757.579038677741</v>
      </c>
      <c r="C213" s="17">
        <f>B213*(1+UF_Assumptions_2!B9)</f>
        <v>18521.154937340882</v>
      </c>
      <c r="D213" s="17">
        <f>C213*(1+UF_Assumptions_2!C9)</f>
        <v>19262.001134834518</v>
      </c>
      <c r="E213" s="17">
        <f>D213*(1+UF_Assumptions_2!D9)</f>
        <v>20032.4811802279</v>
      </c>
      <c r="F213" s="17">
        <f>E213*(1+UF_Assumptions_2!E9)</f>
        <v>20873.845389797472</v>
      </c>
      <c r="G213" s="17">
        <f>F213*(1+UF_Assumptions_2!F9)</f>
        <v>21792.294586948563</v>
      </c>
      <c r="H213" s="17">
        <f>G213*(1+UF_Assumptions_2!G9)</f>
        <v>22816.532432535143</v>
      </c>
      <c r="I213" s="17">
        <f>H213*(1+UF_Assumptions_2!H9)</f>
        <v>23828.065370377535</v>
      </c>
      <c r="J213" s="17">
        <f>I213*(1+UF_Assumptions_2!I9)</f>
        <v>24884.442935130941</v>
      </c>
      <c r="K213" s="17">
        <f>J213*(1+UF_Assumptions_2!J9)</f>
        <v>25987.653238588413</v>
      </c>
      <c r="L213" s="17"/>
      <c r="M213" s="17"/>
    </row>
    <row r="214" spans="1:13">
      <c r="A214" t="s">
        <v>18</v>
      </c>
      <c r="B214" s="13">
        <f>Baseline!J29*UF_Assumptions_1!B11*UF_Assumptions_1!E11*UF_Assumptions_1!H11*UF_Assumptions_1!C11*UF_Assumptions_1!I11*UF_Assumptions_1!G11*UF_Assumptions_1!F11</f>
        <v>28377.247329406087</v>
      </c>
      <c r="C214" s="13">
        <f>B214*(1+UF_Assumptions_2!B10)</f>
        <v>29881.24143786461</v>
      </c>
      <c r="D214" s="13">
        <f>C214*(1+UF_Assumptions_2!C10)</f>
        <v>31494.828475509301</v>
      </c>
      <c r="E214" s="13">
        <f>D214*(1+UF_Assumptions_2!D10)</f>
        <v>33164.054384711293</v>
      </c>
      <c r="F214" s="13">
        <f>E214*(1+UF_Assumptions_2!E10)</f>
        <v>34988.077375870409</v>
      </c>
      <c r="G214" s="13">
        <f>F214*(1+UF_Assumptions_2!F10)</f>
        <v>36912.421631543279</v>
      </c>
      <c r="H214" s="13">
        <f>G214*(1+UF_Assumptions_2!G10)</f>
        <v>38905.692399646614</v>
      </c>
      <c r="I214" s="13">
        <f>H214*(1+UF_Assumptions_2!H10)</f>
        <v>41032.536917493962</v>
      </c>
      <c r="J214" s="13">
        <f>I214*(1+UF_Assumptions_2!I10)</f>
        <v>43275.648935650301</v>
      </c>
      <c r="K214" s="13">
        <f>J214*(1+UF_Assumptions_2!J10)</f>
        <v>45641.384410799183</v>
      </c>
      <c r="L214" s="13"/>
      <c r="M214" s="13"/>
    </row>
    <row r="215" spans="1:13">
      <c r="A215" t="s">
        <v>16</v>
      </c>
      <c r="B215" s="13">
        <f>Baseline!J30*UF_Assumptions_1!B12*UF_Assumptions_1!E12*UF_Assumptions_1!H12*UF_Assumptions_1!C12*UF_Assumptions_1!I12*UF_Assumptions_1!G12*UF_Assumptions_1!F12</f>
        <v>9782.1964709051808</v>
      </c>
      <c r="C215" s="13">
        <f>B215*(1+UF_Assumptions_2!B11)</f>
        <v>10183.266526212292</v>
      </c>
      <c r="D215" s="13">
        <f>C215*(1+UF_Assumptions_2!C11)</f>
        <v>10610.963720313208</v>
      </c>
      <c r="E215" s="13">
        <f>D215*(1+UF_Assumptions_2!D11)</f>
        <v>11056.624196566363</v>
      </c>
      <c r="F215" s="13">
        <f>E215*(1+UF_Assumptions_2!E11)</f>
        <v>11521.00241282215</v>
      </c>
      <c r="G215" s="13">
        <f>F215*(1+UF_Assumptions_2!F11)</f>
        <v>12016.405516573503</v>
      </c>
      <c r="H215" s="13">
        <f>G215*(1+UF_Assumptions_2!G11)</f>
        <v>12533.110953786163</v>
      </c>
      <c r="I215" s="13">
        <f>H215*(1+UF_Assumptions_2!H11)</f>
        <v>13067.857021147705</v>
      </c>
      <c r="J215" s="13">
        <f>I215*(1+UF_Assumptions_2!I11)</f>
        <v>13625.418920716673</v>
      </c>
      <c r="K215" s="13">
        <f>J215*(1+UF_Assumptions_2!J11)</f>
        <v>14206.770128000584</v>
      </c>
      <c r="L215" s="13"/>
      <c r="M215" s="13"/>
    </row>
    <row r="216" spans="1:13">
      <c r="A216" t="s">
        <v>11</v>
      </c>
      <c r="B216" s="13">
        <f>Baseline!J31*UF_Assumptions_1!B13*UF_Assumptions_1!E13*UF_Assumptions_1!H13*UF_Assumptions_1!C13*UF_Assumptions_1!I13*UF_Assumptions_1!G13*UF_Assumptions_1!F13</f>
        <v>5891.3022225153381</v>
      </c>
      <c r="C216" s="13">
        <f>B216*(1+UF_Assumptions_2!B12)</f>
        <v>6209.4325425311663</v>
      </c>
      <c r="D216" s="13">
        <f>C216*(1+UF_Assumptions_2!C12)</f>
        <v>6544.7418998278499</v>
      </c>
      <c r="E216" s="13">
        <f>D216*(1+UF_Assumptions_2!D12)</f>
        <v>6898.1579624185542</v>
      </c>
      <c r="F216" s="13">
        <f>E216*(1+UF_Assumptions_2!E12)</f>
        <v>7270.6584923891569</v>
      </c>
      <c r="G216" s="13">
        <f>F216*(1+UF_Assumptions_2!F12)</f>
        <v>7677.8153679629504</v>
      </c>
      <c r="H216" s="13">
        <f>G216*(1+UF_Assumptions_2!G12)</f>
        <v>8069.3839517290608</v>
      </c>
      <c r="I216" s="13">
        <f>H216*(1+UF_Assumptions_2!H12)</f>
        <v>8502.4408904718548</v>
      </c>
      <c r="J216" s="13">
        <f>I216*(1+UF_Assumptions_2!I12)</f>
        <v>8958.7385515938458</v>
      </c>
      <c r="K216" s="13">
        <f>J216*(1+UF_Assumptions_2!J12)</f>
        <v>9439.5241871960498</v>
      </c>
      <c r="L216" s="13"/>
      <c r="M216" s="13"/>
    </row>
    <row r="217" spans="1:13">
      <c r="A217" t="s">
        <v>13</v>
      </c>
      <c r="B217" s="13">
        <f>Baseline!J$35</f>
        <v>13015.934321462773</v>
      </c>
      <c r="C217" s="13">
        <f>Baseline!K$35</f>
        <v>13476.024721270978</v>
      </c>
      <c r="D217" s="13">
        <f>Baseline!L$35</f>
        <v>13923.220163679234</v>
      </c>
      <c r="E217" s="13">
        <f>Baseline!M$35</f>
        <v>14458.753862211928</v>
      </c>
      <c r="F217" s="13">
        <f>Baseline!N$35</f>
        <v>15047.036138730071</v>
      </c>
      <c r="G217" s="13">
        <f>Baseline!O$35</f>
        <v>15608.734786912868</v>
      </c>
      <c r="H217" s="13">
        <f>Baseline!P$35</f>
        <v>16159.948137089295</v>
      </c>
      <c r="I217" s="13">
        <f>Baseline!Q$35</f>
        <v>16766.700865673727</v>
      </c>
      <c r="J217" s="13">
        <f>Baseline!R$35</f>
        <v>17396.231249972214</v>
      </c>
      <c r="K217" s="13">
        <f>Baseline!S$35</f>
        <v>18049.393987394586</v>
      </c>
      <c r="L217" s="13"/>
      <c r="M217" s="13"/>
    </row>
    <row r="218" spans="1:13">
      <c r="A218" t="s">
        <v>71</v>
      </c>
      <c r="B218" s="281">
        <f>Baseline!J36</f>
        <v>28791.565066927964</v>
      </c>
      <c r="C218" s="281">
        <f>B31*(1+UF_Assumptions_2!B14)</f>
        <v>30144.768625073575</v>
      </c>
      <c r="D218" s="281">
        <f>C31*(1+UF_Assumptions_2!C14)</f>
        <v>31561.572750452033</v>
      </c>
      <c r="E218" s="281">
        <f>D31*(1+UF_Assumptions_2!D14)</f>
        <v>33076.528242473731</v>
      </c>
      <c r="F218" s="281">
        <f>E31*(1+UF_Assumptions_2!E14)</f>
        <v>34664.201598112471</v>
      </c>
      <c r="G218" s="281">
        <f>F31*(1+UF_Assumptions_2!F14)</f>
        <v>36328.083274821875</v>
      </c>
      <c r="H218" s="281">
        <f>G31*(1+UF_Assumptions_2!G14)</f>
        <v>38035.503188738498</v>
      </c>
      <c r="I218" s="281">
        <f>H31*(1+UF_Assumptions_2!H14)</f>
        <v>39848.528840735038</v>
      </c>
      <c r="J218" s="281">
        <f>I31*(1+UF_Assumptions_2!I14)</f>
        <v>41747.975382143413</v>
      </c>
      <c r="K218" s="281">
        <f>J31*(1+UF_Assumptions_2!J14)</f>
        <v>43737.962208692254</v>
      </c>
      <c r="L218" s="13"/>
      <c r="M218" s="13"/>
    </row>
    <row r="219" spans="1:13">
      <c r="A219" s="6" t="s">
        <v>166</v>
      </c>
      <c r="B219" s="213">
        <f>SUM(B207:B216)*(UF_Assumptions_1!B$18/(1-UF_Assumptions_1!B$18))</f>
        <v>13788.70608193818</v>
      </c>
      <c r="C219" s="213">
        <f>SUM(C207:C216)*(UF_Assumptions_1!C$18/(1-UF_Assumptions_1!C$18))</f>
        <v>14500.152645536366</v>
      </c>
      <c r="D219" s="213">
        <f>SUM(D207:D216)*(UF_Assumptions_1!D$18/(1-UF_Assumptions_1!D$18))</f>
        <v>15234.926346699676</v>
      </c>
      <c r="E219" s="213">
        <f>SUM(E207:E216)*(UF_Assumptions_1!E$18/(1-UF_Assumptions_1!E$18))</f>
        <v>16036.434266772563</v>
      </c>
      <c r="F219" s="213">
        <f>SUM(F207:F216)*(UF_Assumptions_1!F$18/(1-UF_Assumptions_1!F$18))</f>
        <v>16887.872679160992</v>
      </c>
      <c r="G219" s="213">
        <f>SUM(G207:G216)*(UF_Assumptions_1!G$18/(1-UF_Assumptions_1!G$18))</f>
        <v>17768.474696458172</v>
      </c>
      <c r="H219" s="213">
        <f>SUM(H207:H216)*(UF_Assumptions_1!H$18/(1-UF_Assumptions_1!H$18))</f>
        <v>18692.51769951122</v>
      </c>
      <c r="I219" s="213">
        <f>SUM(I207:I216)*(UF_Assumptions_1!I$18/(1-UF_Assumptions_1!I$18))</f>
        <v>19673.279156111483</v>
      </c>
      <c r="J219" s="213">
        <f>SUM(J207:J216)*(UF_Assumptions_1!J$18/(1-UF_Assumptions_1!J$18))</f>
        <v>20706.021545685202</v>
      </c>
      <c r="K219" s="213">
        <f>SUM(K207:K216)*(UF_Assumptions_1!K$18/(1-UF_Assumptions_1!K$18))</f>
        <v>21793.526193448073</v>
      </c>
      <c r="L219" s="56">
        <f>B219/((SUM(B207:B216)+B219))</f>
        <v>3.0000000000000002E-2</v>
      </c>
      <c r="M219" s="13"/>
    </row>
    <row r="220" spans="1:13">
      <c r="A220" s="212" t="s">
        <v>218</v>
      </c>
      <c r="B220" s="13">
        <f>UF_Assumptions_1!$B$28/1000000</f>
        <v>2085.3611888863684</v>
      </c>
      <c r="C220" s="13">
        <f>UF_Assumptions_1!$B$28/1000000</f>
        <v>2085.3611888863684</v>
      </c>
      <c r="D220" s="13">
        <f>UF_Assumptions_1!$B$28/1000000</f>
        <v>2085.3611888863684</v>
      </c>
      <c r="E220" s="13">
        <f>UF_Assumptions_1!$B$28/1000000</f>
        <v>2085.3611888863684</v>
      </c>
      <c r="F220" s="13">
        <f>UF_Assumptions_1!$B$28/1000000</f>
        <v>2085.3611888863684</v>
      </c>
      <c r="G220" s="13">
        <f>UF_Assumptions_1!$B$28/1000000</f>
        <v>2085.3611888863684</v>
      </c>
      <c r="H220" s="13">
        <f>UF_Assumptions_1!$B$28/1000000</f>
        <v>2085.3611888863684</v>
      </c>
      <c r="I220" s="13">
        <f>UF_Assumptions_1!$B$28/1000000</f>
        <v>2085.3611888863684</v>
      </c>
      <c r="J220" s="13">
        <f>UF_Assumptions_1!$B$28/1000000</f>
        <v>2085.3611888863684</v>
      </c>
      <c r="K220" s="13">
        <f>UF_Assumptions_1!$B$28/1000000</f>
        <v>2085.3611888863684</v>
      </c>
      <c r="L220" s="13"/>
      <c r="M220" s="13"/>
    </row>
    <row r="221" spans="1:13">
      <c r="A221" s="211" t="s">
        <v>276</v>
      </c>
      <c r="B221" s="281">
        <f>((UF_Calculations_2!B54-UF_Assumptions_1!$B$60)/UF_Assumptions_1!$B$63)+UF_Assumptions_1!$B$61</f>
        <v>4670.5768069649057</v>
      </c>
      <c r="C221" s="281">
        <f>((UF_Calculations_2!C54-UF_Assumptions_1!$B$60)/UF_Assumptions_1!$B$63)+UF_Assumptions_1!$B$61</f>
        <v>4884.0247961340392</v>
      </c>
      <c r="D221" s="281">
        <f>((UF_Calculations_2!D54-UF_Assumptions_1!$B$60)/UF_Assumptions_1!$B$63)+UF_Assumptions_1!$B$61</f>
        <v>5104.4904631950403</v>
      </c>
      <c r="E221" s="281">
        <f>((UF_Calculations_2!E54-UF_Assumptions_1!$B$60)/UF_Assumptions_1!$B$63)+UF_Assumptions_1!$B$61</f>
        <v>5341.8826865607916</v>
      </c>
      <c r="F221" s="281">
        <f>((UF_Calculations_2!F54-UF_Assumptions_1!$B$60)/UF_Assumptions_1!$B$63)+UF_Assumptions_1!$B$61</f>
        <v>5585.0569121479057</v>
      </c>
      <c r="G221" s="281">
        <f>((UF_Calculations_2!G54-UF_Assumptions_1!$B$60)/UF_Assumptions_1!$B$63)+UF_Assumptions_1!$B$61</f>
        <v>5836.6189247319226</v>
      </c>
      <c r="H221" s="281">
        <f>((UF_Calculations_2!H54-UF_Assumptions_1!$B$60)/UF_Assumptions_1!$B$63)+UF_Assumptions_1!$B$61</f>
        <v>6096.1393317602333</v>
      </c>
      <c r="I221" s="281">
        <f>((UF_Calculations_2!I54-UF_Assumptions_1!$B$60)/UF_Assumptions_1!$B$63)+UF_Assumptions_1!$B$61</f>
        <v>6363.2110429876439</v>
      </c>
      <c r="J221" s="281">
        <f>((UF_Calculations_2!J54-UF_Assumptions_1!$B$60)/UF_Assumptions_1!$B$63)+UF_Assumptions_1!$B$61</f>
        <v>6638.1657278472312</v>
      </c>
      <c r="K221" s="281">
        <f>((UF_Calculations_2!K54-UF_Assumptions_1!$B$60)/UF_Assumptions_1!$B$63)+UF_Assumptions_1!$B$61</f>
        <v>6920.9707498785965</v>
      </c>
      <c r="L221" s="13"/>
      <c r="M221" s="13"/>
    </row>
    <row r="222" spans="1:13">
      <c r="A222" s="8" t="s">
        <v>14</v>
      </c>
      <c r="B222" s="88">
        <f>SUM(B207:B221)</f>
        <v>508186.973448848</v>
      </c>
      <c r="C222" s="88">
        <f t="shared" ref="C222:K222" si="28">SUM(C207:C221)</f>
        <v>533928.60084924381</v>
      </c>
      <c r="D222" s="88">
        <f t="shared" si="28"/>
        <v>560505.52278953511</v>
      </c>
      <c r="E222" s="88">
        <f t="shared" si="28"/>
        <v>589510.3348725515</v>
      </c>
      <c r="F222" s="88">
        <f t="shared" si="28"/>
        <v>620310.74514324323</v>
      </c>
      <c r="G222" s="88">
        <f t="shared" si="28"/>
        <v>652141.28805729211</v>
      </c>
      <c r="H222" s="88">
        <f t="shared" si="28"/>
        <v>685460.87516351498</v>
      </c>
      <c r="I222" s="88">
        <f t="shared" si="28"/>
        <v>720839.77380866557</v>
      </c>
      <c r="J222" s="88">
        <f t="shared" si="28"/>
        <v>758068.45173835603</v>
      </c>
      <c r="K222" s="88">
        <f t="shared" si="28"/>
        <v>797244.56124978757</v>
      </c>
      <c r="L222" s="88"/>
      <c r="M222" s="88"/>
    </row>
    <row r="223" spans="1:13">
      <c r="A223" s="2" t="s">
        <v>558</v>
      </c>
      <c r="B223" s="2"/>
      <c r="C223" s="2"/>
      <c r="D223" s="2"/>
      <c r="E223" s="2"/>
      <c r="F223" s="2"/>
      <c r="G223" s="2"/>
      <c r="H223" s="2"/>
      <c r="I223" s="2"/>
      <c r="J223" s="2"/>
      <c r="K223" s="2"/>
      <c r="L223" s="2"/>
      <c r="M223" s="88"/>
    </row>
    <row r="224" spans="1:13">
      <c r="A224" s="401" t="s">
        <v>4</v>
      </c>
      <c r="B224" s="213">
        <f>Baseline!J22*UF_Assumptions_1!B4*UF_Assumptions_1!E4*UF_Assumptions_1!C4*UF_Assumptions_1!J4*UF_Assumptions_1!G4*UF_Assumptions_1!F4</f>
        <v>157551.65832003992</v>
      </c>
      <c r="C224" s="213">
        <f>B224*(1+UF_Assumptions_2!B3)</f>
        <v>166059.44786932209</v>
      </c>
      <c r="D224" s="213">
        <f>C224*(1+UF_Assumptions_2!C3)</f>
        <v>174860.59860639615</v>
      </c>
      <c r="E224" s="213">
        <f>D224*(1+UF_Assumptions_2!D3)</f>
        <v>184477.93152974793</v>
      </c>
      <c r="F224" s="213">
        <f>E224*(1+UF_Assumptions_2!E3)</f>
        <v>195177.65155847333</v>
      </c>
      <c r="G224" s="213">
        <f>F224*(1+UF_Assumptions_2!F3)</f>
        <v>205717.24474263089</v>
      </c>
      <c r="H224" s="213">
        <f>G224*(1+UF_Assumptions_2!G3)</f>
        <v>216825.97595873298</v>
      </c>
      <c r="I224" s="213">
        <f>H224*(1+UF_Assumptions_2!H3)</f>
        <v>228823.67996178288</v>
      </c>
      <c r="J224" s="213">
        <f>I224*(1+UF_Assumptions_2!I3)</f>
        <v>241485.25691966823</v>
      </c>
      <c r="K224" s="213">
        <f>J224*(1+UF_Assumptions_2!J3)</f>
        <v>254847.44113588991</v>
      </c>
      <c r="L224" s="396"/>
      <c r="M224" s="88"/>
    </row>
    <row r="225" spans="1:13">
      <c r="A225" s="401" t="s">
        <v>5</v>
      </c>
      <c r="B225" s="213">
        <f>Baseline!J23*UF_Assumptions_1!B5*UF_Assumptions_1!E5*UF_Assumptions_1!C5*UF_Assumptions_1!J5*UF_Assumptions_1!G5*UF_Assumptions_1!F5</f>
        <v>112776.06196739181</v>
      </c>
      <c r="C225" s="213">
        <f>B225*(1+UF_Assumptions_2!B4)</f>
        <v>118414.86506576141</v>
      </c>
      <c r="D225" s="213">
        <f>C225*(1+UF_Assumptions_2!C4)</f>
        <v>124335.60831904948</v>
      </c>
      <c r="E225" s="213">
        <f>D225*(1+UF_Assumptions_2!D4)</f>
        <v>130925.3955599591</v>
      </c>
      <c r="F225" s="213">
        <f>E225*(1+UF_Assumptions_2!E4)</f>
        <v>137471.66533795706</v>
      </c>
      <c r="G225" s="213">
        <f>F225*(1+UF_Assumptions_2!F4)</f>
        <v>144482.72027019286</v>
      </c>
      <c r="H225" s="213">
        <f>G225*(1+UF_Assumptions_2!G4)</f>
        <v>151851.33900397268</v>
      </c>
      <c r="I225" s="213">
        <f>H225*(1+UF_Assumptions_2!H4)</f>
        <v>159545.14018017397</v>
      </c>
      <c r="J225" s="213">
        <f>I225*(1+UF_Assumptions_2!I4)</f>
        <v>167628.76061596946</v>
      </c>
      <c r="K225" s="213">
        <f>J225*(1+UF_Assumptions_2!J4)</f>
        <v>176121.95115384524</v>
      </c>
      <c r="L225" s="396"/>
      <c r="M225" s="88"/>
    </row>
    <row r="226" spans="1:13">
      <c r="A226" s="401" t="s">
        <v>6</v>
      </c>
      <c r="B226" s="213">
        <f>Baseline!J24*UF_Assumptions_1!B6*UF_Assumptions_1!E6*UF_Assumptions_1!C6*UF_Assumptions_1!J6*UF_Assumptions_1!G6*UF_Assumptions_1!F6</f>
        <v>13490.92824527821</v>
      </c>
      <c r="C226" s="213">
        <f>B226*(1+UF_Assumptions_2!B5)</f>
        <v>14165.474657542121</v>
      </c>
      <c r="D226" s="213">
        <f>C226*(1+UF_Assumptions_2!C5)</f>
        <v>14873.748390419229</v>
      </c>
      <c r="E226" s="213">
        <f>D226*(1+UF_Assumptions_2!D5)</f>
        <v>15602.56206154977</v>
      </c>
      <c r="F226" s="213">
        <f>E226*(1+UF_Assumptions_2!E5)</f>
        <v>16367.087602565707</v>
      </c>
      <c r="G226" s="213">
        <f>F226*(1+UF_Assumptions_2!F5)</f>
        <v>17185.441982693992</v>
      </c>
      <c r="H226" s="213">
        <f>G226*(1+UF_Assumptions_2!G5)</f>
        <v>18027.528639845998</v>
      </c>
      <c r="I226" s="213">
        <f>H226*(1+UF_Assumptions_2!H5)</f>
        <v>18916.88671941173</v>
      </c>
      <c r="J226" s="213">
        <f>I226*(1+UF_Assumptions_2!I5)</f>
        <v>19850.119797569372</v>
      </c>
      <c r="K226" s="213">
        <f>J226*(1+UF_Assumptions_2!J5)</f>
        <v>20829.392374249459</v>
      </c>
      <c r="L226" s="396"/>
      <c r="M226" s="88"/>
    </row>
    <row r="227" spans="1:13">
      <c r="A227" s="401" t="s">
        <v>7</v>
      </c>
      <c r="B227" s="213">
        <f>Baseline!J25*UF_Assumptions_1!B7*UF_Assumptions_1!E7*UF_Assumptions_1!C7*UF_Assumptions_1!J7*UF_Assumptions_1!G7*UF_Assumptions_1!F7</f>
        <v>22664.330431764425</v>
      </c>
      <c r="C227" s="213">
        <f>B227*(1+UF_Assumptions_2!B6)</f>
        <v>23548.239318603235</v>
      </c>
      <c r="D227" s="213">
        <f>C227*(1+UF_Assumptions_2!C6)</f>
        <v>24466.62065202876</v>
      </c>
      <c r="E227" s="213">
        <f>D227*(1+UF_Assumptions_2!D6)</f>
        <v>25420.818857457878</v>
      </c>
      <c r="F227" s="213">
        <f>E227*(1+UF_Assumptions_2!E6)</f>
        <v>26412.230792898732</v>
      </c>
      <c r="G227" s="213">
        <f>F227*(1+UF_Assumptions_2!F6)</f>
        <v>27415.895563028884</v>
      </c>
      <c r="H227" s="213">
        <f>G227*(1+UF_Assumptions_2!G6)</f>
        <v>28457.699594423982</v>
      </c>
      <c r="I227" s="213">
        <f>H227*(1+UF_Assumptions_2!H6)</f>
        <v>29548.578078876901</v>
      </c>
      <c r="J227" s="213">
        <f>I227*(1+UF_Assumptions_2!I6)</f>
        <v>30681.273571900514</v>
      </c>
      <c r="K227" s="213">
        <f>J227*(1+UF_Assumptions_2!J6)</f>
        <v>31857.389058823366</v>
      </c>
      <c r="L227" s="396"/>
      <c r="M227" s="88"/>
    </row>
    <row r="228" spans="1:13">
      <c r="A228" s="401" t="s">
        <v>8</v>
      </c>
      <c r="B228" s="213">
        <f>Baseline!J26*UF_Assumptions_1!B8*UF_Assumptions_1!E8*UF_Assumptions_1!C8*UF_Assumptions_1!K8*UF_Assumptions_1!J8*UF_Assumptions_1!G8*UF_Assumptions_1!F8</f>
        <v>53413.090581679266</v>
      </c>
      <c r="C228" s="213">
        <f>B228*(1+UF_Assumptions_2!B7)</f>
        <v>56190.571291926593</v>
      </c>
      <c r="D228" s="213">
        <f>C228*(1+UF_Assumptions_2!C7)</f>
        <v>58887.718713939073</v>
      </c>
      <c r="E228" s="213">
        <f>D228*(1+UF_Assumptions_2!D7)</f>
        <v>61949.88008706391</v>
      </c>
      <c r="F228" s="213">
        <f>E228*(1+UF_Assumptions_2!E7)</f>
        <v>65171.273851591235</v>
      </c>
      <c r="G228" s="213">
        <f>F228*(1+UF_Assumptions_2!F7)</f>
        <v>68560.180091873975</v>
      </c>
      <c r="H228" s="213">
        <f>G228*(1+UF_Assumptions_2!G7)</f>
        <v>72056.749276559538</v>
      </c>
      <c r="I228" s="213">
        <f>H228*(1+UF_Assumptions_2!H7)</f>
        <v>75779.681322515127</v>
      </c>
      <c r="J228" s="213">
        <f>I228*(1+UF_Assumptions_2!I7)</f>
        <v>79694.964857511746</v>
      </c>
      <c r="K228" s="213">
        <f>J228*(1+UF_Assumptions_2!J7)</f>
        <v>83812.53804181653</v>
      </c>
      <c r="L228" s="396"/>
      <c r="M228" s="88"/>
    </row>
    <row r="229" spans="1:13">
      <c r="A229" s="212" t="s">
        <v>9</v>
      </c>
      <c r="B229" s="281">
        <f>Baseline!J27*UF_Assumptions_1!B9*UF_Assumptions_1!E9*UF_Assumptions_1!C9*UF_Assumptions_1!J9*UF_Assumptions_1!G9*UF_Assumptions_1!F9</f>
        <v>18962.718845578111</v>
      </c>
      <c r="C229" s="213">
        <f>B229*(1+UF_Assumptions_2!B8)</f>
        <v>20233.221008231842</v>
      </c>
      <c r="D229" s="213">
        <f>C229*(1+UF_Assumptions_2!C8)</f>
        <v>21548.380373766911</v>
      </c>
      <c r="E229" s="213">
        <f>D229*(1+UF_Assumptions_2!D8)</f>
        <v>22970.57347843553</v>
      </c>
      <c r="F229" s="213">
        <f>E229*(1+UF_Assumptions_2!E8)</f>
        <v>24463.660754533837</v>
      </c>
      <c r="G229" s="213">
        <f>F229*(1+UF_Assumptions_2!F8)</f>
        <v>26102.726025087602</v>
      </c>
      <c r="H229" s="213">
        <f>G229*(1+UF_Assumptions_2!G8)</f>
        <v>27851.608668768469</v>
      </c>
      <c r="I229" s="213">
        <f>H229*(1+UF_Assumptions_2!H8)</f>
        <v>29699.098710463444</v>
      </c>
      <c r="J229" s="213">
        <f>I229*(1+UF_Assumptions_2!I8)</f>
        <v>31669.138924924187</v>
      </c>
      <c r="K229" s="213">
        <f>J229*(1+UF_Assumptions_2!J8)</f>
        <v>33769.858473610824</v>
      </c>
      <c r="L229" s="396"/>
      <c r="M229" s="88"/>
    </row>
    <row r="230" spans="1:13">
      <c r="A230" s="212" t="s">
        <v>10</v>
      </c>
      <c r="B230" s="281">
        <f>Baseline!J28*UF_Assumptions_1!B10*UF_Assumptions_1!E10*UF_Assumptions_1!C10*UF_Assumptions_1!J10*UF_Assumptions_1!G10*UF_Assumptions_1!F10</f>
        <v>18140.285607789145</v>
      </c>
      <c r="C230" s="213">
        <f>B230*(1+UF_Assumptions_2!B9)</f>
        <v>18920.317888924077</v>
      </c>
      <c r="D230" s="213">
        <f>C230*(1+UF_Assumptions_2!C9)</f>
        <v>19677.130604481041</v>
      </c>
      <c r="E230" s="213">
        <f>D230*(1+UF_Assumptions_2!D9)</f>
        <v>20464.215828660283</v>
      </c>
      <c r="F230" s="213">
        <f>E230*(1+UF_Assumptions_2!E9)</f>
        <v>21323.712893464017</v>
      </c>
      <c r="G230" s="213">
        <f>F230*(1+UF_Assumptions_2!F9)</f>
        <v>22261.956260776435</v>
      </c>
      <c r="H230" s="213">
        <f>G230*(1+UF_Assumptions_2!G9)</f>
        <v>23308.268205032924</v>
      </c>
      <c r="I230" s="213">
        <f>H230*(1+UF_Assumptions_2!H9)</f>
        <v>24341.601428789385</v>
      </c>
      <c r="J230" s="213">
        <f>I230*(1+UF_Assumptions_2!I9)</f>
        <v>25420.745758799047</v>
      </c>
      <c r="K230" s="213">
        <f>J230*(1+UF_Assumptions_2!J9)</f>
        <v>26547.732154105805</v>
      </c>
      <c r="L230" s="397"/>
      <c r="M230" s="88"/>
    </row>
    <row r="231" spans="1:13">
      <c r="A231" s="401" t="s">
        <v>18</v>
      </c>
      <c r="B231" s="213">
        <f>Baseline!J29*UF_Assumptions_1!B11*UF_Assumptions_1!E11*UF_Assumptions_1!C11*UF_Assumptions_1!J11*UF_Assumptions_1!G11*UF_Assumptions_1!F11</f>
        <v>26936.689422329699</v>
      </c>
      <c r="C231" s="213">
        <f>B231*(1+UF_Assumptions_2!B10)</f>
        <v>28364.333961713171</v>
      </c>
      <c r="D231" s="213">
        <f>C231*(1+UF_Assumptions_2!C10)</f>
        <v>29896.007995645683</v>
      </c>
      <c r="E231" s="213">
        <f>D231*(1+UF_Assumptions_2!D10)</f>
        <v>31480.496419414903</v>
      </c>
      <c r="F231" s="213">
        <f>E231*(1+UF_Assumptions_2!E10)</f>
        <v>33211.923722482723</v>
      </c>
      <c r="G231" s="213">
        <f>F231*(1+UF_Assumptions_2!F10)</f>
        <v>35038.57952721927</v>
      </c>
      <c r="H231" s="213">
        <f>G231*(1+UF_Assumptions_2!G10)</f>
        <v>36930.662821689111</v>
      </c>
      <c r="I231" s="213">
        <f>H231*(1+UF_Assumptions_2!H10)</f>
        <v>38949.539055941452</v>
      </c>
      <c r="J231" s="213">
        <f>I231*(1+UF_Assumptions_2!I10)</f>
        <v>41078.78052433292</v>
      </c>
      <c r="K231" s="213">
        <f>J231*(1+UF_Assumptions_2!J10)</f>
        <v>43324.420526329784</v>
      </c>
      <c r="L231" s="396"/>
      <c r="M231" s="88"/>
    </row>
    <row r="232" spans="1:13">
      <c r="A232" s="401" t="s">
        <v>16</v>
      </c>
      <c r="B232" s="213">
        <f>Baseline!J30*UF_Assumptions_1!B12*UF_Assumptions_1!E12*UF_Assumptions_1!C12*UF_Assumptions_1!J12*UF_Assumptions_1!G12*UF_Assumptions_1!F12</f>
        <v>9438.0617106060163</v>
      </c>
      <c r="C232" s="213">
        <f>B232*(1+UF_Assumptions_2!B11)</f>
        <v>9825.0222407408619</v>
      </c>
      <c r="D232" s="213">
        <f>C232*(1+UF_Assumptions_2!C11)</f>
        <v>10237.673174851978</v>
      </c>
      <c r="E232" s="213">
        <f>D232*(1+UF_Assumptions_2!D11)</f>
        <v>10667.655448195761</v>
      </c>
      <c r="F232" s="213">
        <f>E232*(1+UF_Assumptions_2!E11)</f>
        <v>11115.696977019983</v>
      </c>
      <c r="G232" s="213">
        <f>F232*(1+UF_Assumptions_2!F11)</f>
        <v>11593.671947031842</v>
      </c>
      <c r="H232" s="213">
        <f>G232*(1+UF_Assumptions_2!G11)</f>
        <v>12092.199840754211</v>
      </c>
      <c r="I232" s="213">
        <f>H232*(1+UF_Assumptions_2!H11)</f>
        <v>12608.133700626389</v>
      </c>
      <c r="J232" s="213">
        <f>I232*(1+UF_Assumptions_2!I11)</f>
        <v>13146.080738519782</v>
      </c>
      <c r="K232" s="213">
        <f>J232*(1+UF_Assumptions_2!J11)</f>
        <v>13706.980183363292</v>
      </c>
      <c r="L232" s="396"/>
      <c r="M232" s="88"/>
    </row>
    <row r="233" spans="1:13">
      <c r="A233" s="401" t="s">
        <v>11</v>
      </c>
      <c r="B233" s="213">
        <f>Baseline!J31*UF_Assumptions_1!B13*UF_Assumptions_1!E13*UF_Assumptions_1!C13*UF_Assumptions_1!J13*UF_Assumptions_1!G13*UF_Assumptions_1!F13</f>
        <v>5684.0479637989774</v>
      </c>
      <c r="C233" s="213">
        <f>B233*(1+UF_Assumptions_2!B12)</f>
        <v>5990.9865538441227</v>
      </c>
      <c r="D233" s="213">
        <f>C233*(1+UF_Assumptions_2!C12)</f>
        <v>6314.4998277517052</v>
      </c>
      <c r="E233" s="213">
        <f>D233*(1+UF_Assumptions_2!D12)</f>
        <v>6655.4828184502976</v>
      </c>
      <c r="F233" s="213">
        <f>E233*(1+UF_Assumptions_2!E12)</f>
        <v>7014.8788906466143</v>
      </c>
      <c r="G233" s="213">
        <f>F233*(1+UF_Assumptions_2!F12)</f>
        <v>7407.7121085228255</v>
      </c>
      <c r="H233" s="213">
        <f>G233*(1+UF_Assumptions_2!G12)</f>
        <v>7785.5054260574889</v>
      </c>
      <c r="I233" s="213">
        <f>H233*(1+UF_Assumptions_2!H12)</f>
        <v>8203.3275505892416</v>
      </c>
      <c r="J233" s="213">
        <f>I233*(1+UF_Assumptions_2!I12)</f>
        <v>8643.5727958041989</v>
      </c>
      <c r="K233" s="213">
        <f>J233*(1+UF_Assumptions_2!J12)</f>
        <v>9107.4445358456924</v>
      </c>
      <c r="L233" s="396"/>
      <c r="M233" s="88"/>
    </row>
    <row r="234" spans="1:13">
      <c r="A234" s="401" t="s">
        <v>13</v>
      </c>
      <c r="B234" s="213">
        <f>Baseline!J$35</f>
        <v>13015.934321462773</v>
      </c>
      <c r="C234" s="213">
        <f>Baseline!K$35</f>
        <v>13476.024721270978</v>
      </c>
      <c r="D234" s="213">
        <f>Baseline!L$35</f>
        <v>13923.220163679234</v>
      </c>
      <c r="E234" s="213">
        <f>Baseline!M$35</f>
        <v>14458.753862211928</v>
      </c>
      <c r="F234" s="213">
        <f>Baseline!N$35</f>
        <v>15047.036138730071</v>
      </c>
      <c r="G234" s="213">
        <f>Baseline!O$35</f>
        <v>15608.734786912868</v>
      </c>
      <c r="H234" s="213">
        <f>Baseline!P$35</f>
        <v>16159.948137089295</v>
      </c>
      <c r="I234" s="213">
        <f>Baseline!Q$35</f>
        <v>16766.700865673727</v>
      </c>
      <c r="J234" s="213">
        <f>Baseline!R$35</f>
        <v>17396.231249972214</v>
      </c>
      <c r="K234" s="213">
        <f>Baseline!S$35</f>
        <v>18049.393987394586</v>
      </c>
      <c r="L234" s="396"/>
      <c r="M234" s="88"/>
    </row>
    <row r="235" spans="1:13">
      <c r="A235" s="401" t="s">
        <v>71</v>
      </c>
      <c r="B235" s="281">
        <f>Baseline!J36</f>
        <v>28791.565066927964</v>
      </c>
      <c r="C235" s="281">
        <f>B133*(1+UF_Assumptions_2!B14)</f>
        <v>30144.768625073575</v>
      </c>
      <c r="D235" s="281">
        <f>C133*(1+UF_Assumptions_2!C14)</f>
        <v>31561.572750452033</v>
      </c>
      <c r="E235" s="281">
        <f>D133*(1+UF_Assumptions_2!D14)</f>
        <v>33076.528242473731</v>
      </c>
      <c r="F235" s="281">
        <f>E133*(1+UF_Assumptions_2!E14)</f>
        <v>34664.201598112471</v>
      </c>
      <c r="G235" s="281">
        <f>F133*(1+UF_Assumptions_2!F14)</f>
        <v>36328.083274821875</v>
      </c>
      <c r="H235" s="281">
        <f>G133*(1+UF_Assumptions_2!G14)</f>
        <v>38035.503188738498</v>
      </c>
      <c r="I235" s="281">
        <f>H133*(1+UF_Assumptions_2!H14)</f>
        <v>39848.528840735038</v>
      </c>
      <c r="J235" s="281">
        <f>I133*(1+UF_Assumptions_2!I14)</f>
        <v>41747.975382143413</v>
      </c>
      <c r="K235" s="281">
        <f>J133*(1+UF_Assumptions_2!J14)</f>
        <v>43737.962208692254</v>
      </c>
      <c r="L235" s="396"/>
      <c r="M235" s="88"/>
    </row>
    <row r="236" spans="1:13">
      <c r="A236" s="212" t="s">
        <v>166</v>
      </c>
      <c r="B236" s="213">
        <f>SUM(B224:B233)*(UF_Assumptions_1!B$19/(1-UF_Assumptions_1!B$19))</f>
        <v>28024.970623165245</v>
      </c>
      <c r="C236" s="213">
        <f>SUM(C224:C233)*(UF_Assumptions_1!C$19/(1-UF_Assumptions_1!C$19))</f>
        <v>29471.00935254955</v>
      </c>
      <c r="D236" s="213">
        <f>SUM(D224:D233)*(UF_Assumptions_1!D$19/(1-UF_Assumptions_1!D$19))</f>
        <v>30963.701276063621</v>
      </c>
      <c r="E236" s="213">
        <f>SUM(E224:E233)*(UF_Assumptions_1!E$19/(1-UF_Assumptions_1!E$19))</f>
        <v>32592.447580144806</v>
      </c>
      <c r="F236" s="213">
        <f>SUM(F224:F233)*(UF_Assumptions_1!F$19/(1-UF_Assumptions_1!F$19))</f>
        <v>34323.177598827657</v>
      </c>
      <c r="G236" s="213">
        <f>SUM(G224:G233)*(UF_Assumptions_1!G$19/(1-UF_Assumptions_1!G$19))</f>
        <v>36112.731607599475</v>
      </c>
      <c r="H236" s="213">
        <f>SUM(H224:H233)*(UF_Assumptions_1!H$19/(1-UF_Assumptions_1!H$19))</f>
        <v>37990.693878883241</v>
      </c>
      <c r="I236" s="213">
        <f>SUM(I224:I233)*(UF_Assumptions_1!I$19/(1-UF_Assumptions_1!I$19))</f>
        <v>39983.978726117268</v>
      </c>
      <c r="J236" s="213">
        <f>SUM(J224:J233)*(UF_Assumptions_1!J$19/(1-UF_Assumptions_1!J$19))</f>
        <v>42082.895393936131</v>
      </c>
      <c r="K236" s="213">
        <f>SUM(K224:K233)*(UF_Assumptions_1!K$19/(1-UF_Assumptions_1!K$19))</f>
        <v>44293.094530077433</v>
      </c>
      <c r="L236" s="398">
        <f>B236/((SUM(B224:B233)+B236))</f>
        <v>0.06</v>
      </c>
      <c r="M236" s="88"/>
    </row>
    <row r="237" spans="1:13">
      <c r="A237" s="212" t="s">
        <v>218</v>
      </c>
      <c r="B237" s="213">
        <f>UF_Assumptions_1!$B$28*UF_Assumptions_1!$B$30/1000000</f>
        <v>1042.6805944431842</v>
      </c>
      <c r="C237" s="213">
        <f>UF_Assumptions_1!$B$28*UF_Assumptions_1!$B$30/1000000</f>
        <v>1042.6805944431842</v>
      </c>
      <c r="D237" s="213">
        <f>UF_Assumptions_1!$B$28*UF_Assumptions_1!$B$30/1000000</f>
        <v>1042.6805944431842</v>
      </c>
      <c r="E237" s="213">
        <f>UF_Assumptions_1!$B$28*UF_Assumptions_1!$B$30/1000000</f>
        <v>1042.6805944431842</v>
      </c>
      <c r="F237" s="213">
        <f>UF_Assumptions_1!$B$28*UF_Assumptions_1!$B$30/1000000</f>
        <v>1042.6805944431842</v>
      </c>
      <c r="G237" s="213">
        <f>UF_Assumptions_1!$B$28*UF_Assumptions_1!$B$30/1000000</f>
        <v>1042.6805944431842</v>
      </c>
      <c r="H237" s="213">
        <f>UF_Assumptions_1!$B$28*UF_Assumptions_1!$B$30/1000000</f>
        <v>1042.6805944431842</v>
      </c>
      <c r="I237" s="213">
        <f>UF_Assumptions_1!$B$28*UF_Assumptions_1!$B$30/1000000</f>
        <v>1042.6805944431842</v>
      </c>
      <c r="J237" s="213">
        <f>UF_Assumptions_1!$B$28*UF_Assumptions_1!$B$30/1000000</f>
        <v>1042.6805944431842</v>
      </c>
      <c r="K237" s="213">
        <f>UF_Assumptions_1!$B$28*UF_Assumptions_1!$B$30/1000000</f>
        <v>1042.6805944431842</v>
      </c>
      <c r="L237" s="213"/>
      <c r="M237" s="88"/>
    </row>
    <row r="238" spans="1:13">
      <c r="A238" s="402" t="s">
        <v>276</v>
      </c>
      <c r="B238" s="400">
        <f>((UF_Calculations_2!B110-UF_Assumptions_1!$B$60)/UF_Assumptions_1!$B$63)+UF_Assumptions_1!$B$61</f>
        <v>3527.1936126520741</v>
      </c>
      <c r="C238" s="400">
        <f>((UF_Calculations_2!C110-UF_Assumptions_1!$B$60)/UF_Assumptions_1!$B$63)+UF_Assumptions_1!$B$61</f>
        <v>3699.808208883911</v>
      </c>
      <c r="D238" s="400">
        <f>((UF_Calculations_2!D110-UF_Assumptions_1!$B$60)/UF_Assumptions_1!$B$63)+UF_Assumptions_1!$B$61</f>
        <v>3877.4352582183792</v>
      </c>
      <c r="E238" s="400">
        <f>((UF_Calculations_2!E110-UF_Assumptions_1!$B$60)/UF_Assumptions_1!$B$63)+UF_Assumptions_1!$B$61</f>
        <v>4069.165079974835</v>
      </c>
      <c r="F238" s="400">
        <f>((UF_Calculations_2!F110-UF_Assumptions_1!$B$60)/UF_Assumptions_1!$B$63)+UF_Assumptions_1!$B$61</f>
        <v>4266.2932471142622</v>
      </c>
      <c r="G238" s="400">
        <f>((UF_Calculations_2!G110-UF_Assumptions_1!$B$60)/UF_Assumptions_1!$B$63)+UF_Assumptions_1!$B$61</f>
        <v>4470.5460301999647</v>
      </c>
      <c r="H238" s="400">
        <f>((UF_Calculations_2!H110-UF_Assumptions_1!$B$60)/UF_Assumptions_1!$B$63)+UF_Assumptions_1!$B$61</f>
        <v>4681.7330583591738</v>
      </c>
      <c r="I238" s="400">
        <f>((UF_Calculations_2!I110-UF_Assumptions_1!$B$60)/UF_Assumptions_1!$B$63)+UF_Assumptions_1!$B$61</f>
        <v>4899.6740560413446</v>
      </c>
      <c r="J238" s="400">
        <f>((UF_Calculations_2!J110-UF_Assumptions_1!$B$60)/UF_Assumptions_1!$B$63)+UF_Assumptions_1!$B$61</f>
        <v>5124.629794766257</v>
      </c>
      <c r="K238" s="400">
        <f>((UF_Calculations_2!K110-UF_Assumptions_1!$B$60)/UF_Assumptions_1!$B$63)+UF_Assumptions_1!$B$61</f>
        <v>5356.6447847226409</v>
      </c>
      <c r="L238" s="213"/>
      <c r="M238" s="88"/>
    </row>
    <row r="239" spans="1:13">
      <c r="A239" s="8" t="s">
        <v>14</v>
      </c>
      <c r="B239" s="399">
        <f>SUM(B224:B238)</f>
        <v>513460.21731490677</v>
      </c>
      <c r="C239" s="399">
        <f t="shared" ref="C239:K239" si="29">SUM(C224:C238)</f>
        <v>539546.77135883085</v>
      </c>
      <c r="D239" s="399">
        <f t="shared" si="29"/>
        <v>566466.5967011865</v>
      </c>
      <c r="E239" s="399">
        <f t="shared" si="29"/>
        <v>595854.58744818391</v>
      </c>
      <c r="F239" s="399">
        <f t="shared" si="29"/>
        <v>627073.17155886104</v>
      </c>
      <c r="G239" s="399">
        <f t="shared" si="29"/>
        <v>659328.90481303586</v>
      </c>
      <c r="H239" s="399">
        <f t="shared" si="29"/>
        <v>693098.0962933508</v>
      </c>
      <c r="I239" s="399">
        <f t="shared" si="29"/>
        <v>728957.22979218117</v>
      </c>
      <c r="J239" s="399">
        <f t="shared" si="29"/>
        <v>766693.1069202607</v>
      </c>
      <c r="K239" s="399">
        <f t="shared" si="29"/>
        <v>806404.92374320992</v>
      </c>
      <c r="L239" s="399"/>
      <c r="M239" s="88"/>
    </row>
    <row r="240" spans="1:13" s="2" customFormat="1">
      <c r="A240" s="2" t="s">
        <v>556</v>
      </c>
    </row>
    <row r="241" spans="1:13">
      <c r="A241" t="s">
        <v>4</v>
      </c>
      <c r="B241" s="13">
        <f>Baseline!J22*UF_Assumptions_1!B4*UF_Assumptions_1!E4*UF_Assumptions_1!H4*UF_Assumptions_1!C4*UF_Assumptions_1!I4*UF_Assumptions_1!G4*UF_Assumptions_1!F4</f>
        <v>158762.07942392305</v>
      </c>
      <c r="C241" s="13">
        <f>B241*(1+UF_Assumptions_2!B16)</f>
        <v>165747.61091857566</v>
      </c>
      <c r="D241" s="13">
        <f>C241*(1+UF_Assumptions_2!C16)</f>
        <v>173372.00102083015</v>
      </c>
      <c r="E241" s="13">
        <f>D241*(1+UF_Assumptions_2!D16)</f>
        <v>181173.74106676748</v>
      </c>
      <c r="F241" s="13">
        <f>E241*(1+UF_Assumptions_2!E16)</f>
        <v>189145.38567370526</v>
      </c>
      <c r="G241" s="13">
        <f>F241*(1+UF_Assumptions_2!F16)</f>
        <v>197467.7826433483</v>
      </c>
      <c r="H241" s="13">
        <f>G241*(1+UF_Assumptions_2!G16)</f>
        <v>206156.36507965563</v>
      </c>
      <c r="I241" s="13">
        <f>H241*(1+UF_Assumptions_2!H16)</f>
        <v>215433.40150824012</v>
      </c>
      <c r="J241" s="13">
        <f>I241*(1+UF_Assumptions_2!I16)</f>
        <v>225127.90457611092</v>
      </c>
      <c r="K241" s="13">
        <f>J241*(1+UF_Assumptions_2!J16)</f>
        <v>235258.66028203588</v>
      </c>
      <c r="L241" s="13"/>
      <c r="M241" s="13"/>
    </row>
    <row r="242" spans="1:13">
      <c r="A242" t="s">
        <v>5</v>
      </c>
      <c r="B242" s="13">
        <f>Baseline!J23*UF_Assumptions_1!B5*UF_Assumptions_1!E5*UF_Assumptions_1!H5*UF_Assumptions_1!C5*UF_Assumptions_1!I5*UF_Assumptions_1!G5*UF_Assumptions_1!F5</f>
        <v>115850.48024547381</v>
      </c>
      <c r="C242" s="13">
        <f>B242*(1+UF_Assumptions_2!B17)</f>
        <v>120947.90137627466</v>
      </c>
      <c r="D242" s="13">
        <f>C242*(1+UF_Assumptions_2!C17)</f>
        <v>126511.5048395833</v>
      </c>
      <c r="E242" s="13">
        <f>D242*(1+UF_Assumptions_2!D17)</f>
        <v>132204.52255736454</v>
      </c>
      <c r="F242" s="13">
        <f>E242*(1+UF_Assumptions_2!E17)</f>
        <v>138021.5215498886</v>
      </c>
      <c r="G242" s="13">
        <f>F242*(1+UF_Assumptions_2!F17)</f>
        <v>144094.4684980837</v>
      </c>
      <c r="H242" s="13">
        <f>G242*(1+UF_Assumptions_2!G17)</f>
        <v>150434.6251119994</v>
      </c>
      <c r="I242" s="13">
        <f>H242*(1+UF_Assumptions_2!H17)</f>
        <v>157204.18324203935</v>
      </c>
      <c r="J242" s="13">
        <f>I242*(1+UF_Assumptions_2!I17)</f>
        <v>164278.37148793112</v>
      </c>
      <c r="K242" s="13">
        <f>J242*(1+UF_Assumptions_2!J17)</f>
        <v>171670.89820488801</v>
      </c>
      <c r="L242" s="13"/>
      <c r="M242" s="13"/>
    </row>
    <row r="243" spans="1:13">
      <c r="A243" t="s">
        <v>6</v>
      </c>
      <c r="B243" s="13">
        <f>Baseline!J24*UF_Assumptions_1!B6*UF_Assumptions_1!E6*UF_Assumptions_1!H6*UF_Assumptions_1!C6*UF_Assumptions_1!I6*UF_Assumptions_1!G6*UF_Assumptions_1!F6</f>
        <v>13982.840409052773</v>
      </c>
      <c r="C243" s="13">
        <f>B243*(1+UF_Assumptions_2!B18)</f>
        <v>14598.085387051095</v>
      </c>
      <c r="D243" s="13">
        <f>C243*(1+UF_Assumptions_2!C18)</f>
        <v>15269.597314855446</v>
      </c>
      <c r="E243" s="13">
        <f>D243*(1+UF_Assumptions_2!D18)</f>
        <v>15956.729194023939</v>
      </c>
      <c r="F243" s="13">
        <f>E243*(1+UF_Assumptions_2!E18)</f>
        <v>16658.825278560995</v>
      </c>
      <c r="G243" s="13">
        <f>F243*(1+UF_Assumptions_2!F18)</f>
        <v>17391.813590817681</v>
      </c>
      <c r="H243" s="13">
        <f>G243*(1+UF_Assumptions_2!G18)</f>
        <v>18157.05338881366</v>
      </c>
      <c r="I243" s="13">
        <f>H243*(1+UF_Assumptions_2!H18)</f>
        <v>18974.120791310273</v>
      </c>
      <c r="J243" s="13">
        <f>I243*(1+UF_Assumptions_2!I18)</f>
        <v>19827.956226919236</v>
      </c>
      <c r="K243" s="13">
        <f>J243*(1+UF_Assumptions_2!J18)</f>
        <v>20720.214257130599</v>
      </c>
      <c r="L243" s="13"/>
      <c r="M243" s="13"/>
    </row>
    <row r="244" spans="1:13">
      <c r="A244" t="s">
        <v>7</v>
      </c>
      <c r="B244" s="13">
        <f>Baseline!J25*UF_Assumptions_1!B7*UF_Assumptions_1!E7*UF_Assumptions_1!H7*UF_Assumptions_1!C7*UF_Assumptions_1!I7*UF_Assumptions_1!G7*UF_Assumptions_1!F7</f>
        <v>23490.727223778569</v>
      </c>
      <c r="C244" s="13">
        <f>B244*(1+UF_Assumptions_2!B19)</f>
        <v>24524.319221624828</v>
      </c>
      <c r="D244" s="13">
        <f>C244*(1+UF_Assumptions_2!C19)</f>
        <v>25652.43790581957</v>
      </c>
      <c r="E244" s="13">
        <f>D244*(1+UF_Assumptions_2!D19)</f>
        <v>26806.797611581449</v>
      </c>
      <c r="F244" s="13">
        <f>E244*(1+UF_Assumptions_2!E19)</f>
        <v>27986.296706491034</v>
      </c>
      <c r="G244" s="13">
        <f>F244*(1+UF_Assumptions_2!F19)</f>
        <v>29217.69376157664</v>
      </c>
      <c r="H244" s="13">
        <f>G244*(1+UF_Assumptions_2!G19)</f>
        <v>30503.272287086013</v>
      </c>
      <c r="I244" s="13">
        <f>H244*(1+UF_Assumptions_2!H19)</f>
        <v>31875.919540004881</v>
      </c>
      <c r="J244" s="13">
        <f>I244*(1+UF_Assumptions_2!I19)</f>
        <v>33310.3359193051</v>
      </c>
      <c r="K244" s="13">
        <f>J244*(1+UF_Assumptions_2!J19)</f>
        <v>34809.30103567383</v>
      </c>
      <c r="L244" s="13"/>
      <c r="M244" s="13"/>
    </row>
    <row r="245" spans="1:13">
      <c r="A245" t="s">
        <v>8</v>
      </c>
      <c r="B245" s="13">
        <f>Baseline!J26*UF_Assumptions_1!B8*UF_Assumptions_1!E8*UF_Assumptions_1!H8*UF_Assumptions_1!C8*UF_Assumptions_1!I8*UF_Assumptions_1!G8*UF_Assumptions_1!F8</f>
        <v>27504.113438370092</v>
      </c>
      <c r="C245" s="13">
        <f>B245*(1+UF_Assumptions_2!B20)</f>
        <v>28714.294429658377</v>
      </c>
      <c r="D245" s="13">
        <f>C245*(1+UF_Assumptions_2!C20)</f>
        <v>30035.151973422664</v>
      </c>
      <c r="E245" s="13">
        <f>D245*(1+UF_Assumptions_2!D20)</f>
        <v>31386.733812226681</v>
      </c>
      <c r="F245" s="13">
        <f>E245*(1+UF_Assumptions_2!E20)</f>
        <v>32767.750099964655</v>
      </c>
      <c r="G245" s="13">
        <f>F245*(1+UF_Assumptions_2!F20)</f>
        <v>34209.531104363101</v>
      </c>
      <c r="H245" s="13">
        <f>G245*(1+UF_Assumptions_2!G20)</f>
        <v>35714.750472955078</v>
      </c>
      <c r="I245" s="13">
        <f>H245*(1+UF_Assumptions_2!H20)</f>
        <v>37321.914244238054</v>
      </c>
      <c r="J245" s="13">
        <f>I245*(1+UF_Assumptions_2!I20)</f>
        <v>39001.400385228764</v>
      </c>
      <c r="K245" s="13">
        <f>J245*(1+UF_Assumptions_2!J20)</f>
        <v>40756.463402564055</v>
      </c>
      <c r="L245" s="13"/>
      <c r="M245" s="13"/>
    </row>
    <row r="246" spans="1:13">
      <c r="A246" t="s">
        <v>9</v>
      </c>
      <c r="B246" s="13">
        <f>Baseline!J27*UF_Assumptions_1!B9*UF_Assumptions_1!E9*UF_Assumptions_1!H9*UF_Assumptions_1!C9*UF_Assumptions_1!I9*UF_Assumptions_1!G9*UF_Assumptions_1!F9</f>
        <v>19654.145846655058</v>
      </c>
      <c r="C246" s="13">
        <f>B246*(1+UF_Assumptions_2!B21)</f>
        <v>20518.928263907881</v>
      </c>
      <c r="D246" s="13">
        <f>C246*(1+UF_Assumptions_2!C21)</f>
        <v>21462.798964047644</v>
      </c>
      <c r="E246" s="13">
        <f>D246*(1+UF_Assumptions_2!D21)</f>
        <v>22428.624917429788</v>
      </c>
      <c r="F246" s="13">
        <f>E246*(1+UF_Assumptions_2!E21)</f>
        <v>23415.484413796701</v>
      </c>
      <c r="G246" s="13">
        <f>F246*(1+UF_Assumptions_2!F21)</f>
        <v>24445.765728003757</v>
      </c>
      <c r="H246" s="13">
        <f>G246*(1+UF_Assumptions_2!G21)</f>
        <v>25521.379420035923</v>
      </c>
      <c r="I246" s="13">
        <f>H246*(1+UF_Assumptions_2!H21)</f>
        <v>26669.841493937536</v>
      </c>
      <c r="J246" s="13">
        <f>I246*(1+UF_Assumptions_2!I21)</f>
        <v>27869.984361164723</v>
      </c>
      <c r="K246" s="13">
        <f>J246*(1+UF_Assumptions_2!J21)</f>
        <v>29124.133657417133</v>
      </c>
      <c r="L246" s="13"/>
      <c r="M246" s="13"/>
    </row>
    <row r="247" spans="1:13">
      <c r="A247" t="s">
        <v>10</v>
      </c>
      <c r="B247" s="13">
        <f>Baseline!J28*UF_Assumptions_1!B10*UF_Assumptions_1!E10*UF_Assumptions_1!H10*UF_Assumptions_1!C10*UF_Assumptions_1!I10*UF_Assumptions_1!G10*UF_Assumptions_1!F10</f>
        <v>17757.579038677741</v>
      </c>
      <c r="C247" s="13">
        <f>B247*(1+UF_Assumptions_2!B22)</f>
        <v>18538.912516379562</v>
      </c>
      <c r="D247" s="13">
        <f>C247*(1+UF_Assumptions_2!C22)</f>
        <v>19391.702492133023</v>
      </c>
      <c r="E247" s="13">
        <f>D247*(1+UF_Assumptions_2!D22)</f>
        <v>20264.329104279008</v>
      </c>
      <c r="F247" s="13">
        <f>E247*(1+UF_Assumptions_2!E22)</f>
        <v>21155.959584867283</v>
      </c>
      <c r="G247" s="13">
        <f>F247*(1+UF_Assumptions_2!F22)</f>
        <v>22086.821806601445</v>
      </c>
      <c r="H247" s="13">
        <f>G247*(1+UF_Assumptions_2!G22)</f>
        <v>23058.641966091909</v>
      </c>
      <c r="I247" s="13">
        <f>H247*(1+UF_Assumptions_2!H22)</f>
        <v>24096.280854566045</v>
      </c>
      <c r="J247" s="13">
        <f>I247*(1+UF_Assumptions_2!I22)</f>
        <v>25180.613493021516</v>
      </c>
      <c r="K247" s="13">
        <f>J247*(1+UF_Assumptions_2!J22)</f>
        <v>26313.74110020748</v>
      </c>
      <c r="L247" s="13"/>
      <c r="M247" s="13"/>
    </row>
    <row r="248" spans="1:13">
      <c r="A248" t="s">
        <v>18</v>
      </c>
      <c r="B248" s="13">
        <f>Baseline!J29*UF_Assumptions_1!B11*UF_Assumptions_1!E11*UF_Assumptions_1!H11*UF_Assumptions_1!C11*UF_Assumptions_1!I11*UF_Assumptions_1!G11*UF_Assumptions_1!F11</f>
        <v>28377.247329406087</v>
      </c>
      <c r="C248" s="13">
        <f>B248*(1+UF_Assumptions_2!B23)</f>
        <v>29625.846211899956</v>
      </c>
      <c r="D248" s="13">
        <f>C248*(1+UF_Assumptions_2!C23)</f>
        <v>30988.635137647354</v>
      </c>
      <c r="E248" s="13">
        <f>D248*(1+UF_Assumptions_2!D23)</f>
        <v>32383.123718841482</v>
      </c>
      <c r="F248" s="13">
        <f>E248*(1+UF_Assumptions_2!E23)</f>
        <v>33807.981162470511</v>
      </c>
      <c r="G248" s="13">
        <f>F248*(1+UF_Assumptions_2!F23)</f>
        <v>35295.532333619216</v>
      </c>
      <c r="H248" s="13">
        <f>G248*(1+UF_Assumptions_2!G23)</f>
        <v>36848.535756298465</v>
      </c>
      <c r="I248" s="13">
        <f>H248*(1+UF_Assumptions_2!H23)</f>
        <v>38506.719865331892</v>
      </c>
      <c r="J248" s="13">
        <f>I248*(1+UF_Assumptions_2!I23)</f>
        <v>40239.522259271827</v>
      </c>
      <c r="K248" s="13">
        <f>J248*(1+UF_Assumptions_2!J23)</f>
        <v>42050.300760939055</v>
      </c>
      <c r="L248" s="13"/>
      <c r="M248" s="13"/>
    </row>
    <row r="249" spans="1:13">
      <c r="A249" t="s">
        <v>16</v>
      </c>
      <c r="B249" s="13">
        <f>Baseline!J30*UF_Assumptions_1!B12*UF_Assumptions_1!E12*UF_Assumptions_1!H12*UF_Assumptions_1!C12*UF_Assumptions_1!I12*UF_Assumptions_1!G12*UF_Assumptions_1!F12</f>
        <v>9782.1964709051808</v>
      </c>
      <c r="C249" s="13">
        <f>B249*(1+UF_Assumptions_2!B24)</f>
        <v>10212.613115625009</v>
      </c>
      <c r="D249" s="13">
        <f>C249*(1+UF_Assumptions_2!C24)</f>
        <v>10682.393318943759</v>
      </c>
      <c r="E249" s="13">
        <f>D249*(1+UF_Assumptions_2!D24)</f>
        <v>11163.101018296227</v>
      </c>
      <c r="F249" s="13">
        <f>E249*(1+UF_Assumptions_2!E24)</f>
        <v>11654.277463101262</v>
      </c>
      <c r="G249" s="13">
        <f>F249*(1+UF_Assumptions_2!F24)</f>
        <v>12167.065671477718</v>
      </c>
      <c r="H249" s="13">
        <f>G249*(1+UF_Assumptions_2!G24)</f>
        <v>12702.416561022737</v>
      </c>
      <c r="I249" s="13">
        <f>H249*(1+UF_Assumptions_2!H24)</f>
        <v>13274.025306268759</v>
      </c>
      <c r="J249" s="13">
        <f>I249*(1+UF_Assumptions_2!I24)</f>
        <v>13871.356445050853</v>
      </c>
      <c r="K249" s="13">
        <f>J249*(1+UF_Assumptions_2!J24)</f>
        <v>14495.56748507814</v>
      </c>
      <c r="L249" s="13"/>
      <c r="M249" s="13"/>
    </row>
    <row r="250" spans="1:13">
      <c r="A250" t="s">
        <v>11</v>
      </c>
      <c r="B250" s="13">
        <f>Baseline!J31*UF_Assumptions_1!B13*UF_Assumptions_1!E13*UF_Assumptions_1!H13*UF_Assumptions_1!C13*UF_Assumptions_1!I13*UF_Assumptions_1!G13*UF_Assumptions_1!F13</f>
        <v>5891.3022225153381</v>
      </c>
      <c r="C250" s="13">
        <f>B250*(1+UF_Assumptions_2!B25)</f>
        <v>6150.519520306013</v>
      </c>
      <c r="D250" s="13">
        <f>C250*(1+UF_Assumptions_2!C25)</f>
        <v>6433.4434182400901</v>
      </c>
      <c r="E250" s="13">
        <f>D250*(1+UF_Assumptions_2!D25)</f>
        <v>6722.9483720608932</v>
      </c>
      <c r="F250" s="13">
        <f>E250*(1+UF_Assumptions_2!E25)</f>
        <v>7018.7581004315725</v>
      </c>
      <c r="G250" s="13">
        <f>F250*(1+UF_Assumptions_2!F25)</f>
        <v>7327.5834568505616</v>
      </c>
      <c r="H250" s="13">
        <f>G250*(1+UF_Assumptions_2!G25)</f>
        <v>7649.9971289519863</v>
      </c>
      <c r="I250" s="13">
        <f>H250*(1+UF_Assumptions_2!H25)</f>
        <v>7994.2469997548251</v>
      </c>
      <c r="J250" s="13">
        <f>I250*(1+UF_Assumptions_2!I25)</f>
        <v>8353.9881147437918</v>
      </c>
      <c r="K250" s="13">
        <f>J250*(1+UF_Assumptions_2!J25)</f>
        <v>8729.9175799072618</v>
      </c>
      <c r="L250" s="13"/>
      <c r="M250" s="13"/>
    </row>
    <row r="251" spans="1:13">
      <c r="A251" t="s">
        <v>13</v>
      </c>
      <c r="B251" s="13">
        <f>Baseline!J$35</f>
        <v>13015.934321462773</v>
      </c>
      <c r="C251" s="13">
        <f>Baseline!K$35</f>
        <v>13476.024721270978</v>
      </c>
      <c r="D251" s="13">
        <f>Baseline!L$35</f>
        <v>13923.220163679234</v>
      </c>
      <c r="E251" s="13">
        <f>Baseline!M$35</f>
        <v>14458.753862211928</v>
      </c>
      <c r="F251" s="13">
        <f>Baseline!N$35</f>
        <v>15047.036138730071</v>
      </c>
      <c r="G251" s="13">
        <f>Baseline!O$35</f>
        <v>15608.734786912868</v>
      </c>
      <c r="H251" s="13">
        <f>Baseline!P$35</f>
        <v>16159.948137089295</v>
      </c>
      <c r="I251" s="13">
        <f>Baseline!Q$35</f>
        <v>16766.700865673727</v>
      </c>
      <c r="J251" s="13">
        <f>Baseline!R$35</f>
        <v>17396.231249972214</v>
      </c>
      <c r="K251" s="13">
        <f>Baseline!S$35</f>
        <v>18049.393987394586</v>
      </c>
      <c r="L251" s="13"/>
      <c r="M251" s="13"/>
    </row>
    <row r="252" spans="1:13">
      <c r="A252" t="s">
        <v>71</v>
      </c>
      <c r="B252" s="213">
        <f>Baseline!J36</f>
        <v>28791.565066927964</v>
      </c>
      <c r="C252" s="213">
        <f>B48*(1+UF_Assumptions_2!B27)</f>
        <v>30058.393929872796</v>
      </c>
      <c r="D252" s="213">
        <f>C48*(1+UF_Assumptions_2!C27)</f>
        <v>31531.427981826961</v>
      </c>
      <c r="E252" s="213">
        <f>D48*(1+UF_Assumptions_2!D27)</f>
        <v>32981.843524222371</v>
      </c>
      <c r="F252" s="213">
        <f>E48*(1+UF_Assumptions_2!E27)</f>
        <v>34531.895485142573</v>
      </c>
      <c r="G252" s="213">
        <f>F48*(1+UF_Assumptions_2!F27)</f>
        <v>36189.426468429425</v>
      </c>
      <c r="H252" s="213">
        <f>G48*(1+UF_Assumptions_2!G27)</f>
        <v>37926.518938914036</v>
      </c>
      <c r="I252" s="213">
        <f>H48*(1+UF_Assumptions_2!H27)</f>
        <v>39747.100832231728</v>
      </c>
      <c r="J252" s="213">
        <f>I48*(1+UF_Assumptions_2!I27)</f>
        <v>41641.712638568111</v>
      </c>
      <c r="K252" s="213">
        <f>J48*(1+UF_Assumptions_2!J27)</f>
        <v>43626.634274339864</v>
      </c>
      <c r="L252" s="13"/>
      <c r="M252" s="13"/>
    </row>
    <row r="253" spans="1:13">
      <c r="A253" s="6" t="s">
        <v>166</v>
      </c>
      <c r="B253" s="213">
        <f>SUM(B241:B250)*(UF_Assumptions_1!B$18/(1-UF_Assumptions_1!B$18))</f>
        <v>13022.248813879105</v>
      </c>
      <c r="C253" s="213">
        <f>SUM(C241:C250)*(UF_Assumptions_1!C$18/(1-UF_Assumptions_1!C$18))</f>
        <v>13595.227761689785</v>
      </c>
      <c r="D253" s="213">
        <f>SUM(D241:D250)*(UF_Assumptions_1!D$18/(1-UF_Assumptions_1!D$18))</f>
        <v>14220.608238727515</v>
      </c>
      <c r="E253" s="213">
        <f>SUM(E241:E250)*(UF_Assumptions_1!E$18/(1-UF_Assumptions_1!E$18))</f>
        <v>14860.535609470253</v>
      </c>
      <c r="F253" s="213">
        <f>SUM(F241:F250)*(UF_Assumptions_1!F$18/(1-UF_Assumptions_1!F$18))</f>
        <v>15514.399176286946</v>
      </c>
      <c r="G253" s="213">
        <f>SUM(G241:G250)*(UF_Assumptions_1!G$18/(1-UF_Assumptions_1!G$18))</f>
        <v>16197.032740043569</v>
      </c>
      <c r="H253" s="213">
        <f>SUM(H241:H250)*(UF_Assumptions_1!H$18/(1-UF_Assumptions_1!H$18))</f>
        <v>16909.702180605487</v>
      </c>
      <c r="I253" s="213">
        <f>SUM(I241:I250)*(UF_Assumptions_1!I$18/(1-UF_Assumptions_1!I$18))</f>
        <v>17670.638778732729</v>
      </c>
      <c r="J253" s="213">
        <f>SUM(J241:J250)*(UF_Assumptions_1!J$18/(1-UF_Assumptions_1!J$18))</f>
        <v>18465.817523775706</v>
      </c>
      <c r="K253" s="213">
        <f>SUM(K241:K250)*(UF_Assumptions_1!K$18/(1-UF_Assumptions_1!K$18))</f>
        <v>19296.779312345607</v>
      </c>
      <c r="L253" s="56">
        <f>B253/((SUM(B241:B250)+B253))</f>
        <v>3.0000000000000002E-2</v>
      </c>
      <c r="M253" s="13"/>
    </row>
    <row r="254" spans="1:13" s="6" customFormat="1">
      <c r="A254" s="212" t="s">
        <v>218</v>
      </c>
      <c r="B254" s="17">
        <f>UF_Assumptions_1!$B$28/1000000</f>
        <v>2085.3611888863684</v>
      </c>
      <c r="C254" s="17">
        <f>UF_Assumptions_1!$B$28/1000000</f>
        <v>2085.3611888863684</v>
      </c>
      <c r="D254" s="17">
        <f>UF_Assumptions_1!$B$28/1000000</f>
        <v>2085.3611888863684</v>
      </c>
      <c r="E254" s="17">
        <f>UF_Assumptions_1!$B$28/1000000</f>
        <v>2085.3611888863684</v>
      </c>
      <c r="F254" s="17">
        <f>UF_Assumptions_1!$B$28/1000000</f>
        <v>2085.3611888863684</v>
      </c>
      <c r="G254" s="17">
        <f>UF_Assumptions_1!$B$28/1000000</f>
        <v>2085.3611888863684</v>
      </c>
      <c r="H254" s="17">
        <f>UF_Assumptions_1!$B$28/1000000</f>
        <v>2085.3611888863684</v>
      </c>
      <c r="I254" s="17">
        <f>UF_Assumptions_1!$B$28/1000000</f>
        <v>2085.3611888863684</v>
      </c>
      <c r="J254" s="17">
        <f>UF_Assumptions_1!$B$28/1000000</f>
        <v>2085.3611888863684</v>
      </c>
      <c r="K254" s="17">
        <f>UF_Assumptions_1!$B$28/1000000</f>
        <v>2085.3611888863684</v>
      </c>
      <c r="L254" s="17"/>
      <c r="M254" s="17"/>
    </row>
    <row r="255" spans="1:13" s="6" customFormat="1">
      <c r="A255" s="280" t="s">
        <v>276</v>
      </c>
      <c r="B255" s="281">
        <f>((UF_Calculations_2!B61-UF_Assumptions_1!$B$60)/UF_Assumptions_1!$B$63)+UF_Assumptions_1!$B$61</f>
        <v>4258.5816338963405</v>
      </c>
      <c r="C255" s="281">
        <f>((UF_Calculations_2!C61-UF_Assumptions_1!$B$60)/UF_Assumptions_1!$B$63)+UF_Assumptions_1!$B$61</f>
        <v>4389.5640803312635</v>
      </c>
      <c r="D255" s="281">
        <f>((UF_Calculations_2!D61-UF_Assumptions_1!$B$60)/UF_Assumptions_1!$B$63)+UF_Assumptions_1!$B$61</f>
        <v>4545.3394348655384</v>
      </c>
      <c r="E255" s="281">
        <f>((UF_Calculations_2!E61-UF_Assumptions_1!$B$60)/UF_Assumptions_1!$B$63)+UF_Assumptions_1!$B$61</f>
        <v>4685.6451321635941</v>
      </c>
      <c r="F255" s="281">
        <f>((UF_Calculations_2!F61-UF_Assumptions_1!$B$60)/UF_Assumptions_1!$B$63)+UF_Assumptions_1!$B$61</f>
        <v>4809.9457654183097</v>
      </c>
      <c r="G255" s="281">
        <f>((UF_Calculations_2!G61-UF_Assumptions_1!$B$60)/UF_Assumptions_1!$B$63)+UF_Assumptions_1!$B$61</f>
        <v>4943.7349563392645</v>
      </c>
      <c r="H255" s="281">
        <f>((UF_Calculations_2!H61-UF_Assumptions_1!$B$60)/UF_Assumptions_1!$B$63)+UF_Assumptions_1!$B$61</f>
        <v>5078.0159597233942</v>
      </c>
      <c r="I255" s="281">
        <f>((UF_Calculations_2!I61-UF_Assumptions_1!$B$60)/UF_Assumptions_1!$B$63)+UF_Assumptions_1!$B$61</f>
        <v>5214.2989723118253</v>
      </c>
      <c r="J255" s="281">
        <f>((UF_Calculations_2!J61-UF_Assumptions_1!$B$60)/UF_Assumptions_1!$B$63)+UF_Assumptions_1!$B$61</f>
        <v>5347.7698433411524</v>
      </c>
      <c r="K255" s="281">
        <f>((UF_Calculations_2!K61-UF_Assumptions_1!$B$60)/UF_Assumptions_1!$B$63)+UF_Assumptions_1!$B$61</f>
        <v>5477.7605263772875</v>
      </c>
      <c r="L255" s="17"/>
      <c r="M255" s="281"/>
    </row>
    <row r="256" spans="1:13" s="6" customFormat="1">
      <c r="A256" s="410" t="s">
        <v>14</v>
      </c>
      <c r="B256" s="285">
        <f>SUM(B241:B255)</f>
        <v>482226.40267381025</v>
      </c>
      <c r="C256" s="285">
        <f t="shared" ref="C256:K256" si="30">SUM(C241:C255)</f>
        <v>503183.60264335421</v>
      </c>
      <c r="D256" s="285">
        <f t="shared" si="30"/>
        <v>526105.62339350849</v>
      </c>
      <c r="E256" s="285">
        <f t="shared" si="30"/>
        <v>549562.7906898259</v>
      </c>
      <c r="F256" s="285">
        <f t="shared" si="30"/>
        <v>573620.87778774218</v>
      </c>
      <c r="G256" s="285">
        <f t="shared" si="30"/>
        <v>598728.34873535344</v>
      </c>
      <c r="H256" s="285">
        <f t="shared" si="30"/>
        <v>624906.5835781293</v>
      </c>
      <c r="I256" s="285">
        <f t="shared" si="30"/>
        <v>652834.75448352785</v>
      </c>
      <c r="J256" s="285">
        <f t="shared" si="30"/>
        <v>681998.32571329142</v>
      </c>
      <c r="K256" s="285">
        <f t="shared" si="30"/>
        <v>712465.12705518503</v>
      </c>
      <c r="L256" s="285"/>
      <c r="M256" s="285"/>
    </row>
    <row r="257" spans="1:13" s="6" customFormat="1">
      <c r="A257" s="6" t="s">
        <v>559</v>
      </c>
    </row>
    <row r="258" spans="1:13" s="6" customFormat="1">
      <c r="A258" s="212" t="s">
        <v>4</v>
      </c>
      <c r="B258" s="281">
        <f>Baseline!J22*UF_Assumptions_1!B4*UF_Assumptions_1!E4*UF_Assumptions_1!C4*UF_Assumptions_1!J4*UF_Assumptions_1!G4*UF_Assumptions_1!F4</f>
        <v>157551.65832003992</v>
      </c>
      <c r="C258" s="281">
        <f>B258*(1+UF_Assumptions_2!B16)</f>
        <v>164483.93128612169</v>
      </c>
      <c r="D258" s="281">
        <f>C258*(1+UF_Assumptions_2!C16)</f>
        <v>172050.1921252833</v>
      </c>
      <c r="E258" s="281">
        <f>D258*(1+UF_Assumptions_2!D16)</f>
        <v>179792.45077092104</v>
      </c>
      <c r="F258" s="281">
        <f>E258*(1+UF_Assumptions_2!E16)</f>
        <v>187703.31860484157</v>
      </c>
      <c r="G258" s="281">
        <f>F258*(1+UF_Assumptions_2!F16)</f>
        <v>195962.2646234546</v>
      </c>
      <c r="H258" s="281">
        <f>G258*(1+UF_Assumptions_2!G16)</f>
        <v>204584.6042668866</v>
      </c>
      <c r="I258" s="281">
        <f>H258*(1+UF_Assumptions_2!H16)</f>
        <v>213790.91145889647</v>
      </c>
      <c r="J258" s="281">
        <f>I258*(1+UF_Assumptions_2!I16)</f>
        <v>223411.50247454681</v>
      </c>
      <c r="K258" s="281">
        <f>J258*(1+UF_Assumptions_2!J16)</f>
        <v>233465.0200859014</v>
      </c>
      <c r="L258" s="281"/>
      <c r="M258" s="17"/>
    </row>
    <row r="259" spans="1:13" s="6" customFormat="1">
      <c r="A259" s="212" t="s">
        <v>5</v>
      </c>
      <c r="B259" s="281">
        <f>Baseline!J23*UF_Assumptions_1!B5*UF_Assumptions_1!E5*UF_Assumptions_1!C5*UF_Assumptions_1!J5*UF_Assumptions_1!G5*UF_Assumptions_1!F5</f>
        <v>112776.06196739181</v>
      </c>
      <c r="C259" s="281">
        <f>B259*(1+UF_Assumptions_2!B17)</f>
        <v>117738.20869395706</v>
      </c>
      <c r="D259" s="281">
        <f>C259*(1+UF_Assumptions_2!C17)</f>
        <v>123154.16629387908</v>
      </c>
      <c r="E259" s="281">
        <f>D259*(1+UF_Assumptions_2!D17)</f>
        <v>128696.10377710364</v>
      </c>
      <c r="F259" s="281">
        <f>E259*(1+UF_Assumptions_2!E17)</f>
        <v>134358.7323432962</v>
      </c>
      <c r="G259" s="281">
        <f>F259*(1+UF_Assumptions_2!F17)</f>
        <v>140270.51656640123</v>
      </c>
      <c r="H259" s="281">
        <f>G259*(1+UF_Assumptions_2!G17)</f>
        <v>146442.41929532288</v>
      </c>
      <c r="I259" s="281">
        <f>H259*(1+UF_Assumptions_2!H17)</f>
        <v>153032.3281636124</v>
      </c>
      <c r="J259" s="281">
        <f>I259*(1+UF_Assumptions_2!I17)</f>
        <v>159918.78293097494</v>
      </c>
      <c r="K259" s="281">
        <f>J259*(1+UF_Assumptions_2!J17)</f>
        <v>167115.12816286879</v>
      </c>
      <c r="L259" s="397"/>
      <c r="M259" s="17"/>
    </row>
    <row r="260" spans="1:13" s="6" customFormat="1">
      <c r="A260" s="212" t="s">
        <v>6</v>
      </c>
      <c r="B260" s="281">
        <f>Baseline!J24*UF_Assumptions_1!B6*UF_Assumptions_1!E6*UF_Assumptions_1!C6*UF_Assumptions_1!J6*UF_Assumptions_1!G6*UF_Assumptions_1!F6</f>
        <v>13490.92824527821</v>
      </c>
      <c r="C260" s="281">
        <f>B260*(1+UF_Assumptions_2!B18)</f>
        <v>14084.529088070452</v>
      </c>
      <c r="D260" s="281">
        <f>C260*(1+UF_Assumptions_2!C18)</f>
        <v>14732.417426121694</v>
      </c>
      <c r="E260" s="281">
        <f>D260*(1+UF_Assumptions_2!D18)</f>
        <v>15395.376210297169</v>
      </c>
      <c r="F260" s="281">
        <f>E260*(1+UF_Assumptions_2!E18)</f>
        <v>16072.772763550245</v>
      </c>
      <c r="G260" s="281">
        <f>F260*(1+UF_Assumptions_2!F18)</f>
        <v>16779.974765146457</v>
      </c>
      <c r="H260" s="281">
        <f>G260*(1+UF_Assumptions_2!G18)</f>
        <v>17518.2936548129</v>
      </c>
      <c r="I260" s="281">
        <f>H260*(1+UF_Assumptions_2!H18)</f>
        <v>18306.616869279478</v>
      </c>
      <c r="J260" s="281">
        <f>I260*(1+UF_Assumptions_2!I18)</f>
        <v>19130.414628397055</v>
      </c>
      <c r="K260" s="281">
        <f>J260*(1+UF_Assumptions_2!J18)</f>
        <v>19991.28328667492</v>
      </c>
      <c r="L260" s="397"/>
      <c r="M260" s="17"/>
    </row>
    <row r="261" spans="1:13" s="6" customFormat="1">
      <c r="A261" s="212" t="s">
        <v>7</v>
      </c>
      <c r="B261" s="281">
        <f>Baseline!J25*UF_Assumptions_1!B7*UF_Assumptions_1!E7*UF_Assumptions_1!C7*UF_Assumptions_1!J7*UF_Assumptions_1!G7*UF_Assumptions_1!F7</f>
        <v>22664.330431764425</v>
      </c>
      <c r="C261" s="281">
        <f>B261*(1+UF_Assumptions_2!B19)</f>
        <v>23661.560970762061</v>
      </c>
      <c r="D261" s="281">
        <f>C261*(1+UF_Assumptions_2!C19)</f>
        <v>24749.992775417115</v>
      </c>
      <c r="E261" s="281">
        <f>D261*(1+UF_Assumptions_2!D19)</f>
        <v>25863.742450310885</v>
      </c>
      <c r="F261" s="281">
        <f>E261*(1+UF_Assumptions_2!E19)</f>
        <v>27001.747118124564</v>
      </c>
      <c r="G261" s="281">
        <f>F261*(1+UF_Assumptions_2!F19)</f>
        <v>28189.823991322046</v>
      </c>
      <c r="H261" s="281">
        <f>G261*(1+UF_Assumptions_2!G19)</f>
        <v>29430.176246940217</v>
      </c>
      <c r="I261" s="281">
        <f>H261*(1+UF_Assumptions_2!H19)</f>
        <v>30754.534178052523</v>
      </c>
      <c r="J261" s="281">
        <f>I261*(1+UF_Assumptions_2!I19)</f>
        <v>32138.488216064885</v>
      </c>
      <c r="K261" s="281">
        <f>J261*(1+UF_Assumptions_2!J19)</f>
        <v>33584.720185787803</v>
      </c>
      <c r="L261" s="397"/>
      <c r="M261" s="17"/>
    </row>
    <row r="262" spans="1:13" s="6" customFormat="1">
      <c r="A262" s="212" t="s">
        <v>8</v>
      </c>
      <c r="B262" s="281">
        <f>Baseline!J26*UF_Assumptions_1!B8*UF_Assumptions_1!E8*UF_Assumptions_1!C8*UF_Assumptions_1!J8*UF_Assumptions_1!G8*UF_Assumptions_1!F8</f>
        <v>28096.874696395342</v>
      </c>
      <c r="C262" s="281">
        <f>B262*(1+UF_Assumptions_2!B20)</f>
        <v>29333.137183036739</v>
      </c>
      <c r="D262" s="281">
        <f>C262*(1+UF_Assumptions_2!C20)</f>
        <v>30682.461493456431</v>
      </c>
      <c r="E262" s="281">
        <f>D262*(1+UF_Assumptions_2!D20)</f>
        <v>32063.17226066197</v>
      </c>
      <c r="F262" s="281">
        <f>E262*(1+UF_Assumptions_2!E20)</f>
        <v>33473.9518401311</v>
      </c>
      <c r="G262" s="281">
        <f>F262*(1+UF_Assumptions_2!F20)</f>
        <v>34946.805721096869</v>
      </c>
      <c r="H262" s="281">
        <f>G262*(1+UF_Assumptions_2!G20)</f>
        <v>36484.465172825134</v>
      </c>
      <c r="I262" s="281">
        <f>H262*(1+UF_Assumptions_2!H20)</f>
        <v>38126.266105602263</v>
      </c>
      <c r="J262" s="281">
        <f>I262*(1+UF_Assumptions_2!I20)</f>
        <v>39841.948080354363</v>
      </c>
      <c r="K262" s="281">
        <f>J262*(1+UF_Assumptions_2!J20)</f>
        <v>41634.835743970303</v>
      </c>
      <c r="L262" s="397"/>
      <c r="M262" s="17"/>
    </row>
    <row r="263" spans="1:13" s="6" customFormat="1">
      <c r="A263" s="212" t="s">
        <v>9</v>
      </c>
      <c r="B263" s="281">
        <f>Baseline!J27*UF_Assumptions_1!B9*UF_Assumptions_1!E9*UF_Assumptions_1!C9*UF_Assumptions_1!J9*UF_Assumptions_1!G9*UF_Assumptions_1!F9</f>
        <v>18962.718845578111</v>
      </c>
      <c r="C263" s="281">
        <f>B263*(1+UF_Assumptions_2!B21)</f>
        <v>19797.07847478355</v>
      </c>
      <c r="D263" s="281">
        <f>C263*(1+UF_Assumptions_2!C21)</f>
        <v>20707.744084623595</v>
      </c>
      <c r="E263" s="281">
        <f>D263*(1+UF_Assumptions_2!D21)</f>
        <v>21639.592568431653</v>
      </c>
      <c r="F263" s="281">
        <f>E263*(1+UF_Assumptions_2!E21)</f>
        <v>22591.734641442647</v>
      </c>
      <c r="G263" s="281">
        <f>F263*(1+UF_Assumptions_2!F21)</f>
        <v>23585.770965666125</v>
      </c>
      <c r="H263" s="281">
        <f>G263*(1+UF_Assumptions_2!G21)</f>
        <v>24623.544888155437</v>
      </c>
      <c r="I263" s="281">
        <f>H263*(1+UF_Assumptions_2!H21)</f>
        <v>25731.604408122428</v>
      </c>
      <c r="J263" s="281">
        <f>I263*(1+UF_Assumptions_2!I21)</f>
        <v>26889.526606487936</v>
      </c>
      <c r="K263" s="281">
        <f>J263*(1+UF_Assumptions_2!J21)</f>
        <v>28099.555303779893</v>
      </c>
      <c r="L263" s="397"/>
      <c r="M263" s="17"/>
    </row>
    <row r="264" spans="1:13" s="6" customFormat="1">
      <c r="A264" s="212" t="s">
        <v>10</v>
      </c>
      <c r="B264" s="281">
        <f>Baseline!J28*UF_Assumptions_1!B10*UF_Assumptions_1!E10*UF_Assumptions_1!C10*UF_Assumptions_1!J10*UF_Assumptions_1!G10*UF_Assumptions_1!F10</f>
        <v>18140.285607789145</v>
      </c>
      <c r="C264" s="281">
        <f>B264*(1+UF_Assumptions_2!B22)</f>
        <v>18938.458174531868</v>
      </c>
      <c r="D264" s="281">
        <f>C264*(1+UF_Assumptions_2!C22)</f>
        <v>19809.627250560334</v>
      </c>
      <c r="E264" s="281">
        <f>D264*(1+UF_Assumptions_2!D22)</f>
        <v>20701.060476835548</v>
      </c>
      <c r="F264" s="281">
        <f>E264*(1+UF_Assumptions_2!E22)</f>
        <v>21611.907137816313</v>
      </c>
      <c r="G264" s="281">
        <f>F264*(1+UF_Assumptions_2!F22)</f>
        <v>22562.831051880232</v>
      </c>
      <c r="H264" s="281">
        <f>G264*(1+UF_Assumptions_2!G22)</f>
        <v>23555.595618162963</v>
      </c>
      <c r="I264" s="281">
        <f>H264*(1+UF_Assumptions_2!H22)</f>
        <v>24615.597420980295</v>
      </c>
      <c r="J264" s="281">
        <f>I264*(1+UF_Assumptions_2!I22)</f>
        <v>25723.299304924407</v>
      </c>
      <c r="K264" s="281">
        <f>J264*(1+UF_Assumptions_2!J22)</f>
        <v>26880.847773646004</v>
      </c>
      <c r="L264" s="397"/>
      <c r="M264" s="17"/>
    </row>
    <row r="265" spans="1:13" s="6" customFormat="1">
      <c r="A265" s="212" t="s">
        <v>18</v>
      </c>
      <c r="B265" s="281">
        <f>Baseline!J29*UF_Assumptions_1!B11*UF_Assumptions_1!E11*UF_Assumptions_1!C11*UF_Assumptions_1!J11*UF_Assumptions_1!G11*UF_Assumptions_1!F11</f>
        <v>26936.689422329699</v>
      </c>
      <c r="C265" s="281">
        <f>B265*(1+UF_Assumptions_2!B23)</f>
        <v>28121.903756912205</v>
      </c>
      <c r="D265" s="281">
        <f>C265*(1+UF_Assumptions_2!C23)</f>
        <v>29415.511329730169</v>
      </c>
      <c r="E265" s="281">
        <f>D265*(1+UF_Assumptions_2!D23)</f>
        <v>30739.209339568024</v>
      </c>
      <c r="F265" s="281">
        <f>E265*(1+UF_Assumptions_2!E23)</f>
        <v>32091.73455050902</v>
      </c>
      <c r="G265" s="281">
        <f>F265*(1+UF_Assumptions_2!F23)</f>
        <v>33503.770870731416</v>
      </c>
      <c r="H265" s="281">
        <f>G265*(1+UF_Assumptions_2!G23)</f>
        <v>34977.936789043597</v>
      </c>
      <c r="I265" s="281">
        <f>H265*(1+UF_Assumptions_2!H23)</f>
        <v>36551.943944550556</v>
      </c>
      <c r="J265" s="281">
        <f>I265*(1+UF_Assumptions_2!I23)</f>
        <v>38196.781422055326</v>
      </c>
      <c r="K265" s="281">
        <f>J265*(1+UF_Assumptions_2!J23)</f>
        <v>39915.636586047811</v>
      </c>
      <c r="L265" s="397"/>
      <c r="M265" s="17"/>
    </row>
    <row r="266" spans="1:13" s="6" customFormat="1">
      <c r="A266" s="212" t="s">
        <v>16</v>
      </c>
      <c r="B266" s="281">
        <f>Baseline!J30*UF_Assumptions_1!B12*UF_Assumptions_1!E12*UF_Assumptions_1!C12*UF_Assumptions_1!J12*UF_Assumptions_1!G12*UF_Assumptions_1!F12</f>
        <v>9438.0617106060163</v>
      </c>
      <c r="C266" s="281">
        <f>B266*(1+UF_Assumptions_2!B24)</f>
        <v>9853.3364258726815</v>
      </c>
      <c r="D266" s="281">
        <f>C266*(1+UF_Assumptions_2!C24)</f>
        <v>10306.589901462825</v>
      </c>
      <c r="E266" s="281">
        <f>D266*(1+UF_Assumptions_2!D24)</f>
        <v>10770.386447028652</v>
      </c>
      <c r="F266" s="281">
        <f>E266*(1+UF_Assumptions_2!E24)</f>
        <v>11244.283450697912</v>
      </c>
      <c r="G266" s="281">
        <f>F266*(1+UF_Assumptions_2!F24)</f>
        <v>11739.03192252862</v>
      </c>
      <c r="H266" s="281">
        <f>G266*(1+UF_Assumptions_2!G24)</f>
        <v>12255.549327119879</v>
      </c>
      <c r="I266" s="281">
        <f>H266*(1+UF_Assumptions_2!H24)</f>
        <v>12807.049046840273</v>
      </c>
      <c r="J266" s="281">
        <f>I266*(1+UF_Assumptions_2!I24)</f>
        <v>13383.366253948085</v>
      </c>
      <c r="K266" s="281">
        <f>J266*(1+UF_Assumptions_2!J24)</f>
        <v>13985.617735375748</v>
      </c>
      <c r="L266" s="397"/>
      <c r="M266" s="17"/>
    </row>
    <row r="267" spans="1:13" s="6" customFormat="1">
      <c r="A267" s="212" t="s">
        <v>11</v>
      </c>
      <c r="B267" s="281">
        <f>Baseline!J31*UF_Assumptions_1!B13*UF_Assumptions_1!E13*UF_Assumptions_1!C13*UF_Assumptions_1!J13*UF_Assumptions_1!G13*UF_Assumptions_1!F13</f>
        <v>5684.0479637989774</v>
      </c>
      <c r="C267" s="281">
        <f>B267*(1+UF_Assumptions_2!B25)</f>
        <v>5934.1460742061327</v>
      </c>
      <c r="D267" s="281">
        <f>C267*(1+UF_Assumptions_2!C25)</f>
        <v>6207.1167936196152</v>
      </c>
      <c r="E267" s="281">
        <f>D267*(1+UF_Assumptions_2!D25)</f>
        <v>6486.4370493324977</v>
      </c>
      <c r="F267" s="281">
        <f>E267*(1+UF_Assumptions_2!E25)</f>
        <v>6771.8402795031279</v>
      </c>
      <c r="G267" s="281">
        <f>F267*(1+UF_Assumptions_2!F25)</f>
        <v>7069.8012518012656</v>
      </c>
      <c r="H267" s="281">
        <f>G267*(1+UF_Assumptions_2!G25)</f>
        <v>7380.8725068805215</v>
      </c>
      <c r="I267" s="281">
        <f>H267*(1+UF_Assumptions_2!H25)</f>
        <v>7713.0117696901443</v>
      </c>
      <c r="J267" s="281">
        <f>I267*(1+UF_Assumptions_2!I25)</f>
        <v>8060.0972993262003</v>
      </c>
      <c r="K267" s="281">
        <f>J267*(1+UF_Assumptions_2!J25)</f>
        <v>8422.8016777958783</v>
      </c>
      <c r="L267" s="397"/>
      <c r="M267" s="17"/>
    </row>
    <row r="268" spans="1:13" s="6" customFormat="1">
      <c r="A268" s="212" t="s">
        <v>13</v>
      </c>
      <c r="B268" s="281">
        <f>Baseline!J$35</f>
        <v>13015.934321462773</v>
      </c>
      <c r="C268" s="281">
        <f>Baseline!K$35</f>
        <v>13476.024721270978</v>
      </c>
      <c r="D268" s="281">
        <f>Baseline!L$35</f>
        <v>13923.220163679234</v>
      </c>
      <c r="E268" s="281">
        <f>Baseline!M$35</f>
        <v>14458.753862211928</v>
      </c>
      <c r="F268" s="281">
        <f>Baseline!N$35</f>
        <v>15047.036138730071</v>
      </c>
      <c r="G268" s="281">
        <f>Baseline!O$35</f>
        <v>15608.734786912868</v>
      </c>
      <c r="H268" s="281">
        <f>Baseline!P$35</f>
        <v>16159.948137089295</v>
      </c>
      <c r="I268" s="281">
        <f>Baseline!Q$35</f>
        <v>16766.700865673727</v>
      </c>
      <c r="J268" s="281">
        <f>Baseline!R$35</f>
        <v>17396.231249972214</v>
      </c>
      <c r="K268" s="281">
        <f>Baseline!S$35</f>
        <v>18049.393987394586</v>
      </c>
      <c r="L268" s="397"/>
      <c r="M268" s="17"/>
    </row>
    <row r="269" spans="1:13" s="6" customFormat="1">
      <c r="A269" s="212" t="s">
        <v>71</v>
      </c>
      <c r="B269" s="281">
        <f>Baseline!J36</f>
        <v>28791.565066927964</v>
      </c>
      <c r="C269" s="281">
        <f>B269*(1+UF_Assumptions_2!B27)</f>
        <v>30058.393929872796</v>
      </c>
      <c r="D269" s="281">
        <f>C269*(1+UF_Assumptions_2!C27)</f>
        <v>31441.080050646946</v>
      </c>
      <c r="E269" s="281">
        <f>D269*(1+UF_Assumptions_2!D27)</f>
        <v>32855.928652926057</v>
      </c>
      <c r="F269" s="281">
        <f>E269*(1+UF_Assumptions_2!E27)</f>
        <v>34301.589513654806</v>
      </c>
      <c r="G269" s="281">
        <f>F269*(1+UF_Assumptions_2!F27)</f>
        <v>35810.859452255616</v>
      </c>
      <c r="H269" s="281">
        <f>G269*(1+UF_Assumptions_2!G27)</f>
        <v>37386.537268154862</v>
      </c>
      <c r="I269" s="281">
        <f>H269*(1+UF_Assumptions_2!H27)</f>
        <v>39068.931445221824</v>
      </c>
      <c r="J269" s="281">
        <f>I269*(1+UF_Assumptions_2!I27)</f>
        <v>40827.033360256806</v>
      </c>
      <c r="K269" s="281">
        <f>J269*(1+UF_Assumptions_2!J27)</f>
        <v>42664.249861468357</v>
      </c>
      <c r="L269" s="397"/>
      <c r="M269" s="17"/>
    </row>
    <row r="270" spans="1:13" s="6" customFormat="1">
      <c r="A270" s="212" t="s">
        <v>166</v>
      </c>
      <c r="B270" s="281">
        <f>SUM(B258:B267)*(UF_Assumptions_1!B$19/(1-UF_Assumptions_1!B$19))</f>
        <v>26409.041949636485</v>
      </c>
      <c r="C270" s="281">
        <f>SUM(C258:C267)*(UF_Assumptions_1!C$19/(1-UF_Assumptions_1!C$19))</f>
        <v>27571.039795420493</v>
      </c>
      <c r="D270" s="281">
        <f>SUM(D258:D267)*(UF_Assumptions_1!D$19/(1-UF_Assumptions_1!D$19))</f>
        <v>28839.307626009842</v>
      </c>
      <c r="E270" s="281">
        <f>SUM(E258:E267)*(UF_Assumptions_1!E$19/(1-UF_Assumptions_1!E$19))</f>
        <v>30137.076469180276</v>
      </c>
      <c r="F270" s="281">
        <f>SUM(F258:F267)*(UF_Assumptions_1!F$19/(1-UF_Assumptions_1!F$19))</f>
        <v>31463.107833824211</v>
      </c>
      <c r="G270" s="281">
        <f>SUM(G258:G267)*(UF_Assumptions_1!G$19/(1-UF_Assumptions_1!G$19))</f>
        <v>32847.484578512478</v>
      </c>
      <c r="H270" s="281">
        <f>SUM(H258:H267)*(UF_Assumptions_1!H$19/(1-UF_Assumptions_1!H$19))</f>
        <v>34292.773899967025</v>
      </c>
      <c r="I270" s="281">
        <f>SUM(I258:I267)*(UF_Assumptions_1!I$19/(1-UF_Assumptions_1!I$19))</f>
        <v>35835.948725465547</v>
      </c>
      <c r="J270" s="281">
        <f>SUM(J258:J267)*(UF_Assumptions_1!J$19/(1-UF_Assumptions_1!J$19))</f>
        <v>37448.566418111484</v>
      </c>
      <c r="K270" s="281">
        <f>SUM(K258:K267)*(UF_Assumptions_1!K$19/(1-UF_Assumptions_1!K$19))</f>
        <v>39133.751906926504</v>
      </c>
      <c r="L270" s="300">
        <f>B270/((SUM(B258:B267)+B270))</f>
        <v>0.06</v>
      </c>
      <c r="M270" s="17"/>
    </row>
    <row r="271" spans="1:13" s="6" customFormat="1">
      <c r="A271" s="212" t="s">
        <v>218</v>
      </c>
      <c r="B271" s="281">
        <f>UF_Assumptions_1!$B$28*UF_Assumptions_1!$B$30/1000000</f>
        <v>1042.6805944431842</v>
      </c>
      <c r="C271" s="281">
        <f>UF_Assumptions_1!$B$28*UF_Assumptions_1!$B$30/1000000</f>
        <v>1042.6805944431842</v>
      </c>
      <c r="D271" s="281">
        <f>UF_Assumptions_1!$B$28*UF_Assumptions_1!$B$30/1000000</f>
        <v>1042.6805944431842</v>
      </c>
      <c r="E271" s="281">
        <f>UF_Assumptions_1!$B$28*UF_Assumptions_1!$B$30/1000000</f>
        <v>1042.6805944431842</v>
      </c>
      <c r="F271" s="281">
        <f>UF_Assumptions_1!$B$28*UF_Assumptions_1!$B$30/1000000</f>
        <v>1042.6805944431842</v>
      </c>
      <c r="G271" s="281">
        <f>UF_Assumptions_1!$B$28*UF_Assumptions_1!$B$30/1000000</f>
        <v>1042.6805944431842</v>
      </c>
      <c r="H271" s="281">
        <f>UF_Assumptions_1!$B$28*UF_Assumptions_1!$B$30/1000000</f>
        <v>1042.6805944431842</v>
      </c>
      <c r="I271" s="281">
        <f>UF_Assumptions_1!$B$28*UF_Assumptions_1!$B$30/1000000</f>
        <v>1042.6805944431842</v>
      </c>
      <c r="J271" s="281">
        <f>UF_Assumptions_1!$B$28*UF_Assumptions_1!$B$30/1000000</f>
        <v>1042.6805944431842</v>
      </c>
      <c r="K271" s="281">
        <f>UF_Assumptions_1!$B$28*UF_Assumptions_1!$B$30/1000000</f>
        <v>1042.6805944431842</v>
      </c>
      <c r="L271" s="281"/>
      <c r="M271" s="17"/>
    </row>
    <row r="272" spans="1:13" s="6" customFormat="1">
      <c r="A272" s="280" t="s">
        <v>276</v>
      </c>
      <c r="B272" s="281">
        <f>((UF_Calculations_2!B117-UF_Assumptions_1!$B$60)/UF_Assumptions_1!$B$63)+UF_Assumptions_1!$B$61</f>
        <v>3130.1365523053978</v>
      </c>
      <c r="C272" s="281">
        <f>((UF_Calculations_2!C117-UF_Assumptions_1!$B$60)/UF_Assumptions_1!$B$63)+UF_Assumptions_1!$B$61</f>
        <v>3232.1510636469106</v>
      </c>
      <c r="D272" s="281">
        <f>((UF_Calculations_2!D117-UF_Assumptions_1!$B$60)/UF_Assumptions_1!$B$63)+UF_Assumptions_1!$B$61</f>
        <v>3352.9039850079143</v>
      </c>
      <c r="E272" s="281">
        <f>((UF_Calculations_2!E117-UF_Assumptions_1!$B$60)/UF_Assumptions_1!$B$63)+UF_Assumptions_1!$B$61</f>
        <v>3462.0640438251376</v>
      </c>
      <c r="F272" s="281">
        <f>((UF_Calculations_2!F117-UF_Assumptions_1!$B$60)/UF_Assumptions_1!$B$63)+UF_Assumptions_1!$B$61</f>
        <v>3558.6059963163107</v>
      </c>
      <c r="G272" s="281">
        <f>((UF_Calculations_2!G117-UF_Assumptions_1!$B$60)/UF_Assumptions_1!$B$63)+UF_Assumptions_1!$B$61</f>
        <v>3662.1154583263342</v>
      </c>
      <c r="H272" s="281">
        <f>((UF_Calculations_2!H117-UF_Assumptions_1!$B$60)/UF_Assumptions_1!$B$63)+UF_Assumptions_1!$B$61</f>
        <v>3766.1342728554191</v>
      </c>
      <c r="I272" s="281">
        <f>((UF_Calculations_2!I117-UF_Assumptions_1!$B$60)/UF_Assumptions_1!$B$63)+UF_Assumptions_1!$B$61</f>
        <v>3872.0312361786664</v>
      </c>
      <c r="J272" s="281">
        <f>((UF_Calculations_2!J117-UF_Assumptions_1!$B$60)/UF_Assumptions_1!$B$63)+UF_Assumptions_1!$B$61</f>
        <v>3975.9023109656864</v>
      </c>
      <c r="K272" s="281">
        <f>((UF_Calculations_2!K117-UF_Assumptions_1!$B$60)/UF_Assumptions_1!$B$63)+UF_Assumptions_1!$B$61</f>
        <v>4077.1592254460347</v>
      </c>
      <c r="L272" s="281"/>
      <c r="M272" s="17"/>
    </row>
    <row r="273" spans="1:13">
      <c r="A273" s="8" t="s">
        <v>14</v>
      </c>
      <c r="B273" s="399">
        <f>SUM(B258:B272)</f>
        <v>486131.01569574745</v>
      </c>
      <c r="C273" s="399">
        <f t="shared" ref="C273:K273" si="31">SUM(C258:C272)</f>
        <v>507326.58023290872</v>
      </c>
      <c r="D273" s="399">
        <f t="shared" si="31"/>
        <v>530415.01189394132</v>
      </c>
      <c r="E273" s="399">
        <f t="shared" si="31"/>
        <v>554104.03497307771</v>
      </c>
      <c r="F273" s="399">
        <f t="shared" si="31"/>
        <v>578335.04280688125</v>
      </c>
      <c r="G273" s="399">
        <f t="shared" si="31"/>
        <v>603582.46660047944</v>
      </c>
      <c r="H273" s="399">
        <f t="shared" si="31"/>
        <v>629901.53193866007</v>
      </c>
      <c r="I273" s="399">
        <f t="shared" si="31"/>
        <v>658016.15623260988</v>
      </c>
      <c r="J273" s="399">
        <f t="shared" si="31"/>
        <v>687384.62115082936</v>
      </c>
      <c r="K273" s="399">
        <f t="shared" si="31"/>
        <v>718062.68211752735</v>
      </c>
      <c r="L273" s="399"/>
      <c r="M273" s="88"/>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17"/>
  <sheetViews>
    <sheetView workbookViewId="0">
      <selection activeCell="D7" sqref="D7"/>
    </sheetView>
  </sheetViews>
  <sheetFormatPr defaultColWidth="8.81640625" defaultRowHeight="14.5"/>
  <cols>
    <col min="1" max="1" width="21.453125" customWidth="1"/>
    <col min="2" max="2" width="18.1796875" bestFit="1" customWidth="1"/>
    <col min="3" max="3" width="25" bestFit="1" customWidth="1"/>
    <col min="4" max="4" width="22.1796875" bestFit="1" customWidth="1"/>
    <col min="5" max="5" width="24.81640625" bestFit="1" customWidth="1"/>
    <col min="6" max="6" width="21.81640625" bestFit="1" customWidth="1"/>
    <col min="7" max="7" width="15.453125" bestFit="1" customWidth="1"/>
    <col min="8" max="8" width="18.81640625" customWidth="1"/>
    <col min="9" max="10" width="16.453125" customWidth="1"/>
    <col min="11" max="11" width="17.453125" customWidth="1"/>
    <col min="12" max="12" width="10.1796875" bestFit="1" customWidth="1"/>
  </cols>
  <sheetData>
    <row r="1" spans="1:11">
      <c r="A1" t="s">
        <v>276</v>
      </c>
    </row>
    <row r="2" spans="1:11">
      <c r="A2" t="s">
        <v>333</v>
      </c>
    </row>
    <row r="3" spans="1:11">
      <c r="A3" t="s">
        <v>334</v>
      </c>
    </row>
    <row r="5" spans="1:11">
      <c r="B5">
        <v>2022</v>
      </c>
      <c r="C5">
        <v>2023</v>
      </c>
      <c r="D5">
        <v>2024</v>
      </c>
      <c r="E5">
        <v>2025</v>
      </c>
      <c r="F5">
        <v>2026</v>
      </c>
      <c r="G5">
        <v>2027</v>
      </c>
      <c r="H5">
        <v>2028</v>
      </c>
      <c r="I5">
        <v>2029</v>
      </c>
      <c r="J5">
        <v>2030</v>
      </c>
      <c r="K5">
        <v>2031</v>
      </c>
    </row>
    <row r="7" spans="1:11">
      <c r="A7" t="s">
        <v>320</v>
      </c>
      <c r="C7" s="166"/>
      <c r="D7" s="166"/>
      <c r="E7" s="166"/>
      <c r="F7" s="166"/>
      <c r="H7" s="166"/>
      <c r="I7" s="166"/>
    </row>
    <row r="8" spans="1:11">
      <c r="A8" t="s">
        <v>284</v>
      </c>
      <c r="B8" s="279">
        <f>(1-Baseline!J$46/SUM(UF_Calculations_1!B3:B15))*((SUM(UF_Calculations_1!B3:B12)-UF_Calculations_1!B7-UF_Calculations_1!B9))</f>
        <v>240079.37179464602</v>
      </c>
      <c r="C8" s="279">
        <f>(1-Baseline!K$46/SUM(UF_Calculations_1!C3:C15))*((SUM(UF_Calculations_1!C3:C12)-UF_Calculations_1!C7-UF_Calculations_1!C9))</f>
        <v>249714.1932236432</v>
      </c>
      <c r="D8" s="279">
        <f>(1-Baseline!L$46/SUM(UF_Calculations_1!D3:D15))*((SUM(UF_Calculations_1!D3:D12)-UF_Calculations_1!D7-UF_Calculations_1!D9))</f>
        <v>259774.99748822284</v>
      </c>
      <c r="E8" s="279">
        <f>(1-Baseline!M$46/SUM(UF_Calculations_1!E3:E15))*((SUM(UF_Calculations_1!E3:E12)-UF_Calculations_1!E7-UF_Calculations_1!E9))</f>
        <v>270543.0324056648</v>
      </c>
      <c r="F8" s="279">
        <f>(1-Baseline!N$46/SUM(UF_Calculations_1!F3:F15))*((SUM(UF_Calculations_1!F3:F12)-UF_Calculations_1!F7-UF_Calculations_1!F9))</f>
        <v>281552.12552095199</v>
      </c>
      <c r="G8" s="279">
        <f>(1-Baseline!O$46/SUM(UF_Calculations_1!G3:G15))*((SUM(UF_Calculations_1!G3:G12)-UF_Calculations_1!G7-UF_Calculations_1!G9))</f>
        <v>292919.33504248154</v>
      </c>
      <c r="H8" s="279">
        <f>(1-Baseline!P$46/SUM(UF_Calculations_1!H3:H15))*((SUM(UF_Calculations_1!H3:H12)-UF_Calculations_1!H7-UF_Calculations_1!H9))</f>
        <v>304657.13276322052</v>
      </c>
      <c r="I8" s="279">
        <f>(1-Baseline!Q$46/SUM(UF_Calculations_1!I3:I15))*((SUM(UF_Calculations_1!I3:I12)-UF_Calculations_1!I7-UF_Calculations_1!I9))</f>
        <v>316734.77415523096</v>
      </c>
      <c r="J8" s="279">
        <f>(1-Baseline!R$46/SUM(UF_Calculations_1!J3:J15))*((SUM(UF_Calculations_1!J3:J12)-UF_Calculations_1!J7-UF_Calculations_1!J9))</f>
        <v>329166.91902983899</v>
      </c>
      <c r="K8" s="279">
        <f>(1-Baseline!S$46/SUM(UF_Calculations_1!K3:K15))*((SUM(UF_Calculations_1!K3:K12)-UF_Calculations_1!K7-UF_Calculations_1!K9))</f>
        <v>341951.52287212492</v>
      </c>
    </row>
    <row r="9" spans="1:11">
      <c r="A9" t="s">
        <v>285</v>
      </c>
      <c r="B9" s="270">
        <f>B8*UF_Assumptions_1!$B$66</f>
        <v>28094.394571713896</v>
      </c>
      <c r="C9" s="270">
        <f>C8*UF_Assumptions_1!$B$66</f>
        <v>29221.873675107185</v>
      </c>
      <c r="D9" s="270">
        <f>D8*UF_Assumptions_1!$B$66</f>
        <v>30399.201833728206</v>
      </c>
      <c r="E9" s="270">
        <f>E8*UF_Assumptions_1!$B$66</f>
        <v>31659.291026194816</v>
      </c>
      <c r="F9" s="270">
        <f>F8*UF_Assumptions_1!$B$66</f>
        <v>32947.589156707145</v>
      </c>
      <c r="G9" s="270">
        <f>G8*UF_Assumptions_1!$B$66</f>
        <v>34277.794526247839</v>
      </c>
      <c r="H9" s="270">
        <f>H8*UF_Assumptions_1!$B$66</f>
        <v>35651.36659995134</v>
      </c>
      <c r="I9" s="270">
        <f>I8*UF_Assumptions_1!$B$66</f>
        <v>37064.70761391001</v>
      </c>
      <c r="J9" s="270">
        <f>J8*UF_Assumptions_1!$B$66</f>
        <v>38519.533077959881</v>
      </c>
      <c r="K9" s="270">
        <f>K8*UF_Assumptions_1!$B$66</f>
        <v>40015.603740355044</v>
      </c>
    </row>
    <row r="10" spans="1:11">
      <c r="A10" t="s">
        <v>286</v>
      </c>
      <c r="B10" s="279">
        <f>(1-Baseline!J$46/SUM(UF_Calculations_1!B3:B15))*((SUM(UF_Calculations_1!B3:B12)+UF_Calculations_1!B15))</f>
        <v>275971.20683110727</v>
      </c>
      <c r="C10" s="279">
        <f>(1-Baseline!K$46/SUM(UF_Calculations_1!C3:C15))*((SUM(UF_Calculations_1!C3:C12)+UF_Calculations_1!C15))</f>
        <v>286948.79673196533</v>
      </c>
      <c r="D10" s="279">
        <f>(1-Baseline!L$46/SUM(UF_Calculations_1!D3:D15))*((SUM(UF_Calculations_1!D3:D12)+UF_Calculations_1!D15))</f>
        <v>298315.18586920056</v>
      </c>
      <c r="E10" s="279">
        <f>(1-Baseline!M$46/SUM(UF_Calculations_1!E3:E15))*((SUM(UF_Calculations_1!E3:E12)+UF_Calculations_1!E15))</f>
        <v>310501.71568393521</v>
      </c>
      <c r="F10" s="279">
        <f>(1-Baseline!N$46/SUM(UF_Calculations_1!F3:F15))*((SUM(UF_Calculations_1!F3:F12)+UF_Calculations_1!F15))</f>
        <v>322962.87771544402</v>
      </c>
      <c r="G10" s="279">
        <f>(1-Baseline!O$46/SUM(UF_Calculations_1!G3:G15))*((SUM(UF_Calculations_1!G3:G12)+UF_Calculations_1!G15))</f>
        <v>335885.73732127855</v>
      </c>
      <c r="H10" s="279">
        <f>(1-Baseline!P$46/SUM(UF_Calculations_1!H3:H15))*((SUM(UF_Calculations_1!H3:H12)+UF_Calculations_1!H15))</f>
        <v>349248.49302536168</v>
      </c>
      <c r="I10" s="279">
        <f>(1-Baseline!Q$46/SUM(UF_Calculations_1!I3:I15))*((SUM(UF_Calculations_1!I3:I12)+UF_Calculations_1!I15))</f>
        <v>362953.15955668822</v>
      </c>
      <c r="J10" s="279">
        <f>(1-Baseline!R$46/SUM(UF_Calculations_1!J3:J15))*((SUM(UF_Calculations_1!J3:J12)+UF_Calculations_1!J15))</f>
        <v>377053.1477703267</v>
      </c>
      <c r="K10" s="279">
        <f>(1-Baseline!S$46/SUM(UF_Calculations_1!K3:K15))*((SUM(UF_Calculations_1!K3:K12)+UF_Calculations_1!K15))</f>
        <v>391545.64797801443</v>
      </c>
    </row>
    <row r="11" spans="1:11">
      <c r="A11" t="s">
        <v>287</v>
      </c>
      <c r="B11" s="270">
        <f>B10*UF_Assumptions_1!$B$71</f>
        <v>27597.120683110727</v>
      </c>
      <c r="C11" s="270">
        <f>C10*UF_Assumptions_1!$B$71</f>
        <v>28694.879673196534</v>
      </c>
      <c r="D11" s="270">
        <f>D10*UF_Assumptions_1!$B$71</f>
        <v>29831.518586920058</v>
      </c>
      <c r="E11" s="270">
        <f>E10*UF_Assumptions_1!$B$71</f>
        <v>31050.171568393522</v>
      </c>
      <c r="F11" s="270">
        <f>F10*UF_Assumptions_1!$B$71</f>
        <v>32296.287771544405</v>
      </c>
      <c r="G11" s="270">
        <f>G10*UF_Assumptions_1!$B$71</f>
        <v>33588.573732127858</v>
      </c>
      <c r="H11" s="270">
        <f>H10*UF_Assumptions_1!$B$71</f>
        <v>34924.849302536168</v>
      </c>
      <c r="I11" s="270">
        <f>I10*UF_Assumptions_1!$B$71</f>
        <v>36295.315955668826</v>
      </c>
      <c r="J11" s="270">
        <f>J10*UF_Assumptions_1!$B$71</f>
        <v>37705.314777032669</v>
      </c>
      <c r="K11" s="270">
        <f>K10*UF_Assumptions_1!$B$71</f>
        <v>39154.564797801446</v>
      </c>
    </row>
    <row r="12" spans="1:11">
      <c r="A12" t="s">
        <v>98</v>
      </c>
      <c r="B12" s="276">
        <f>B9+B11</f>
        <v>55691.515254824626</v>
      </c>
      <c r="C12" s="276">
        <f t="shared" ref="C12:K12" si="0">C9+C11</f>
        <v>57916.753348303719</v>
      </c>
      <c r="D12" s="276">
        <f t="shared" si="0"/>
        <v>60230.720420648264</v>
      </c>
      <c r="E12" s="276">
        <f t="shared" si="0"/>
        <v>62709.462594588338</v>
      </c>
      <c r="F12" s="276">
        <f t="shared" si="0"/>
        <v>65243.87692825155</v>
      </c>
      <c r="G12" s="276">
        <f t="shared" si="0"/>
        <v>67866.368258375704</v>
      </c>
      <c r="H12" s="276">
        <f t="shared" si="0"/>
        <v>70576.215902487515</v>
      </c>
      <c r="I12" s="276">
        <f t="shared" si="0"/>
        <v>73360.023569578829</v>
      </c>
      <c r="J12" s="276">
        <f t="shared" si="0"/>
        <v>76224.847854992549</v>
      </c>
      <c r="K12" s="276">
        <f t="shared" si="0"/>
        <v>79170.168538156489</v>
      </c>
    </row>
    <row r="14" spans="1:11">
      <c r="A14" t="s">
        <v>175</v>
      </c>
    </row>
    <row r="15" spans="1:11">
      <c r="A15" t="s">
        <v>284</v>
      </c>
      <c r="B15" s="279">
        <f>(1-Baseline!J$46/SUM(UF_Calculations_1!B37:B49))*((SUM(UF_Calculations_1!B37:B46)-UF_Calculations_1!B41-UF_Calculations_1!B43))</f>
        <v>223627.19358574654</v>
      </c>
      <c r="C15" s="279">
        <f>(1-Baseline!K$46/SUM(UF_Calculations_1!C37:C49))*((SUM(UF_Calculations_1!C37:C46)-UF_Calculations_1!C41-UF_Calculations_1!C43))</f>
        <v>232427.98959229208</v>
      </c>
      <c r="D15" s="279">
        <f>(1-Baseline!L$46/SUM(UF_Calculations_1!D37:D49))*((SUM(UF_Calculations_1!D37:D46)-UF_Calculations_1!D41-UF_Calculations_1!D43))</f>
        <v>241613.8243833115</v>
      </c>
      <c r="E15" s="279">
        <f>(1-Baseline!M$46/SUM(UF_Calculations_1!E37:E49))*((SUM(UF_Calculations_1!E37:E46)-UF_Calculations_1!E41-UF_Calculations_1!E43))</f>
        <v>251433.01038575271</v>
      </c>
      <c r="F15" s="279">
        <f>(1-Baseline!N$46/SUM(UF_Calculations_1!F37:F49))*((SUM(UF_Calculations_1!F37:F46)-UF_Calculations_1!F41-UF_Calculations_1!F43))</f>
        <v>261450.1986899238</v>
      </c>
      <c r="G15" s="279">
        <f>(1-Baseline!O$46/SUM(UF_Calculations_1!G37:G49))*((SUM(UF_Calculations_1!G37:G46)-UF_Calculations_1!G41-UF_Calculations_1!G43))</f>
        <v>271783.71983593312</v>
      </c>
      <c r="H15" s="279">
        <f>(1-Baseline!P$46/SUM(UF_Calculations_1!H37:H49))*((SUM(UF_Calculations_1!H37:H46)-UF_Calculations_1!H41-UF_Calculations_1!H43))</f>
        <v>282438.85902221774</v>
      </c>
      <c r="I15" s="279">
        <f>(1-Baseline!Q$46/SUM(UF_Calculations_1!I37:I49))*((SUM(UF_Calculations_1!I37:I46)-UF_Calculations_1!I41-UF_Calculations_1!I43))</f>
        <v>293371.08097535116</v>
      </c>
      <c r="J15" s="279">
        <f>(1-Baseline!R$46/SUM(UF_Calculations_1!J37:J49))*((SUM(UF_Calculations_1!J37:J46)-UF_Calculations_1!J41-UF_Calculations_1!J43))</f>
        <v>304598.36637745082</v>
      </c>
      <c r="K15" s="279">
        <f>(1-Baseline!S$46/SUM(UF_Calculations_1!K37:K49))*((SUM(UF_Calculations_1!K37:K46)-UF_Calculations_1!K41-UF_Calculations_1!K43))</f>
        <v>316115.57257621875</v>
      </c>
    </row>
    <row r="16" spans="1:11">
      <c r="A16" t="s">
        <v>285</v>
      </c>
      <c r="B16" s="276">
        <f>B15*UF_Assumptions_1!$B$67</f>
        <v>23421.380009060369</v>
      </c>
      <c r="C16" s="276">
        <f>C15*UF_Assumptions_1!$B$67</f>
        <v>24343.122952511869</v>
      </c>
      <c r="D16" s="276">
        <f>D15*UF_Assumptions_1!$B$67</f>
        <v>25305.192564401081</v>
      </c>
      <c r="E16" s="276">
        <f>E15*UF_Assumptions_1!$B$67</f>
        <v>26333.595609018463</v>
      </c>
      <c r="F16" s="276">
        <f>F15*UF_Assumptions_1!$B$67</f>
        <v>27382.736235130851</v>
      </c>
      <c r="G16" s="276">
        <f>G15*UF_Assumptions_1!$B$67</f>
        <v>28465.007678561295</v>
      </c>
      <c r="H16" s="276">
        <f>H15*UF_Assumptions_1!$B$67</f>
        <v>29580.963479507805</v>
      </c>
      <c r="I16" s="276">
        <f>I15*UF_Assumptions_1!$B$67</f>
        <v>30725.939278748214</v>
      </c>
      <c r="J16" s="276">
        <f>J15*UF_Assumptions_1!$B$67</f>
        <v>31901.818265808546</v>
      </c>
      <c r="K16" s="276">
        <f>K15*UF_Assumptions_1!$B$67</f>
        <v>33108.061829924191</v>
      </c>
    </row>
    <row r="17" spans="1:11">
      <c r="A17" t="s">
        <v>286</v>
      </c>
      <c r="B17" s="279">
        <f>(1-Baseline!J$46/SUM(UF_Calculations_1!B37:B49))*((SUM(UF_Calculations_1!B37:B46)+UF_Calculations_1!B49))</f>
        <v>258311.029965697</v>
      </c>
      <c r="C17" s="279">
        <f>(1-Baseline!K$46/SUM(UF_Calculations_1!C37:C49))*((SUM(UF_Calculations_1!C37:C46)+UF_Calculations_1!C49))</f>
        <v>268381.39858581574</v>
      </c>
      <c r="D17" s="279">
        <f>(1-Baseline!L$46/SUM(UF_Calculations_1!D37:D49))*((SUM(UF_Calculations_1!D37:D46)+UF_Calculations_1!D49))</f>
        <v>278798.54799676209</v>
      </c>
      <c r="E17" s="279">
        <f>(1-Baseline!M$46/SUM(UF_Calculations_1!E37:E49))*((SUM(UF_Calculations_1!E37:E46)+UF_Calculations_1!E49))</f>
        <v>289954.53888331959</v>
      </c>
      <c r="F17" s="279">
        <f>(1-Baseline!N$46/SUM(UF_Calculations_1!F37:F49))*((SUM(UF_Calculations_1!F37:F46)+UF_Calculations_1!F49))</f>
        <v>301336.22035202087</v>
      </c>
      <c r="G17" s="279">
        <f>(1-Baseline!O$46/SUM(UF_Calculations_1!G37:G49))*((SUM(UF_Calculations_1!G37:G46)+UF_Calculations_1!G49))</f>
        <v>313133.11771249695</v>
      </c>
      <c r="H17" s="279">
        <f>(1-Baseline!P$46/SUM(UF_Calculations_1!H37:H49))*((SUM(UF_Calculations_1!H37:H46)+UF_Calculations_1!H49))</f>
        <v>325315.16665959515</v>
      </c>
      <c r="I17" s="279">
        <f>(1-Baseline!Q$46/SUM(UF_Calculations_1!I37:I49))*((SUM(UF_Calculations_1!I37:I46)+UF_Calculations_1!I49))</f>
        <v>337769.98415621964</v>
      </c>
      <c r="J17" s="279">
        <f>(1-Baseline!R$46/SUM(UF_Calculations_1!J37:J49))*((SUM(UF_Calculations_1!J37:J46)+UF_Calculations_1!J49))</f>
        <v>350554.16170074418</v>
      </c>
      <c r="K17" s="279">
        <f>(1-Baseline!S$46/SUM(UF_Calculations_1!K37:K49))*((SUM(UF_Calculations_1!K37:K46)+UF_Calculations_1!K49))</f>
        <v>363661.37476229877</v>
      </c>
    </row>
    <row r="18" spans="1:11">
      <c r="A18" t="s">
        <v>287</v>
      </c>
      <c r="B18" s="270">
        <f>B17*UF_Assumptions_1!$B$71</f>
        <v>25831.102996569702</v>
      </c>
      <c r="C18" s="270">
        <f>C17*UF_Assumptions_1!$B$71</f>
        <v>26838.139858581577</v>
      </c>
      <c r="D18" s="270">
        <f>D17*UF_Assumptions_1!$B$71</f>
        <v>27879.85479967621</v>
      </c>
      <c r="E18" s="270">
        <f>E17*UF_Assumptions_1!$B$71</f>
        <v>28995.453888331962</v>
      </c>
      <c r="F18" s="270">
        <f>F17*UF_Assumptions_1!$B$71</f>
        <v>30133.62203520209</v>
      </c>
      <c r="G18" s="270">
        <f>G17*UF_Assumptions_1!$B$71</f>
        <v>31313.311771249697</v>
      </c>
      <c r="H18" s="270">
        <f>H17*UF_Assumptions_1!$B$71</f>
        <v>32531.516665959516</v>
      </c>
      <c r="I18" s="270">
        <f>I17*UF_Assumptions_1!$B$71</f>
        <v>33776.998415621965</v>
      </c>
      <c r="J18" s="270">
        <f>J17*UF_Assumptions_1!$B$71</f>
        <v>35055.416170074423</v>
      </c>
      <c r="K18" s="270">
        <f>K17*UF_Assumptions_1!$B$71</f>
        <v>36366.13747622988</v>
      </c>
    </row>
    <row r="19" spans="1:11">
      <c r="A19" t="s">
        <v>98</v>
      </c>
      <c r="B19" s="276">
        <f>B16+B18</f>
        <v>49252.483005630071</v>
      </c>
      <c r="C19" s="276">
        <f t="shared" ref="C19:K19" si="1">C16+C18</f>
        <v>51181.262811093446</v>
      </c>
      <c r="D19" s="276">
        <f t="shared" si="1"/>
        <v>53185.047364077291</v>
      </c>
      <c r="E19" s="276">
        <f t="shared" si="1"/>
        <v>55329.049497350425</v>
      </c>
      <c r="F19" s="276">
        <f t="shared" si="1"/>
        <v>57516.358270332945</v>
      </c>
      <c r="G19" s="276">
        <f t="shared" si="1"/>
        <v>59778.319449810995</v>
      </c>
      <c r="H19" s="276">
        <f t="shared" si="1"/>
        <v>62112.480145467322</v>
      </c>
      <c r="I19" s="276">
        <f t="shared" si="1"/>
        <v>64502.937694370179</v>
      </c>
      <c r="J19" s="276">
        <f t="shared" si="1"/>
        <v>66957.234435882972</v>
      </c>
      <c r="K19" s="276">
        <f t="shared" si="1"/>
        <v>69474.199306154071</v>
      </c>
    </row>
    <row r="20" spans="1:11">
      <c r="B20" s="270"/>
      <c r="C20" s="270"/>
      <c r="D20" s="270"/>
      <c r="E20" s="270"/>
      <c r="F20" s="270"/>
      <c r="G20" s="270"/>
      <c r="H20" s="270"/>
      <c r="I20" s="270"/>
      <c r="J20" s="270"/>
      <c r="K20" s="270"/>
    </row>
    <row r="21" spans="1:11">
      <c r="A21" t="s">
        <v>219</v>
      </c>
    </row>
    <row r="22" spans="1:11">
      <c r="A22" t="s">
        <v>284</v>
      </c>
      <c r="B22" s="279">
        <f>(1-Baseline!J$46/SUM(UF_Calculations_1!B71:B83))*((SUM(UF_Calculations_1!B71:B80)-UF_Calculations_1!B75-UF_Calculations_1!B77))</f>
        <v>240079.37179464602</v>
      </c>
      <c r="C22" s="279">
        <f>(1-Baseline!K$46/SUM(UF_Calculations_1!C71:C83))*((SUM(UF_Calculations_1!C71:C80)-UF_Calculations_1!C75-UF_Calculations_1!C77))</f>
        <v>246718.91157050018</v>
      </c>
      <c r="D22" s="279">
        <f>(1-Baseline!L$46/SUM(UF_Calculations_1!D71:D83))*((SUM(UF_Calculations_1!D71:D80)-UF_Calculations_1!D75-UF_Calculations_1!D77))</f>
        <v>254522.66395474345</v>
      </c>
      <c r="E22" s="279">
        <f>(1-Baseline!M$46/SUM(UF_Calculations_1!E71:E83))*((SUM(UF_Calculations_1!E71:E80)-UF_Calculations_1!E75-UF_Calculations_1!E77))</f>
        <v>261650.9970832612</v>
      </c>
      <c r="F22" s="279">
        <f>(1-Baseline!N$46/SUM(UF_Calculations_1!F71:F83))*((SUM(UF_Calculations_1!F71:F80)-UF_Calculations_1!F75-UF_Calculations_1!F77))</f>
        <v>268036.52859643532</v>
      </c>
      <c r="G22" s="279">
        <f>(1-Baseline!O$46/SUM(UF_Calculations_1!G71:G83))*((SUM(UF_Calculations_1!G71:G80)-UF_Calculations_1!G75-UF_Calculations_1!G77))</f>
        <v>274871.89507082879</v>
      </c>
      <c r="H22" s="279">
        <f>(1-Baseline!P$46/SUM(UF_Calculations_1!H71:H83))*((SUM(UF_Calculations_1!H71:H80)-UF_Calculations_1!H75-UF_Calculations_1!H77))</f>
        <v>281756.6048447584</v>
      </c>
      <c r="I22" s="279">
        <f>(1-Baseline!Q$46/SUM(UF_Calculations_1!I71:I83))*((SUM(UF_Calculations_1!I71:I80)-UF_Calculations_1!I75-UF_Calculations_1!I77))</f>
        <v>288792.84660855005</v>
      </c>
      <c r="J22" s="279">
        <f>(1-Baseline!R$46/SUM(UF_Calculations_1!J71:J83))*((SUM(UF_Calculations_1!J71:J80)-UF_Calculations_1!J75-UF_Calculations_1!J77))</f>
        <v>295736.93404815486</v>
      </c>
      <c r="K22" s="279">
        <f>(1-Baseline!S$46/SUM(UF_Calculations_1!K71:K83))*((SUM(UF_Calculations_1!K71:K80)-UF_Calculations_1!K75-UF_Calculations_1!K77))</f>
        <v>302554.85264377337</v>
      </c>
    </row>
    <row r="23" spans="1:11">
      <c r="A23" t="s">
        <v>285</v>
      </c>
      <c r="B23" s="270">
        <f>B22*UF_Assumptions_1!$B$66</f>
        <v>28094.394571713896</v>
      </c>
      <c r="C23" s="270">
        <f>C22*UF_Assumptions_1!$B$66</f>
        <v>28871.361992292575</v>
      </c>
      <c r="D23" s="270">
        <f>D22*UF_Assumptions_1!$B$66</f>
        <v>29784.567058533808</v>
      </c>
      <c r="E23" s="270">
        <f>E22*UF_Assumptions_1!$B$66</f>
        <v>30618.733701232693</v>
      </c>
      <c r="F23" s="270">
        <f>F22*UF_Assumptions_1!$B$66</f>
        <v>31365.976750646689</v>
      </c>
      <c r="G23" s="270">
        <f>G22*UF_Assumptions_1!$B$66</f>
        <v>32165.860061479965</v>
      </c>
      <c r="H23" s="270">
        <f>H22*UF_Assumptions_1!$B$66</f>
        <v>32971.517588216411</v>
      </c>
      <c r="I23" s="270">
        <f>I22*UF_Assumptions_1!$B$66</f>
        <v>33794.907581851599</v>
      </c>
      <c r="J23" s="270">
        <f>J22*UF_Assumptions_1!$B$66</f>
        <v>34607.513558826635</v>
      </c>
      <c r="K23" s="270">
        <f>K22*UF_Assumptions_1!$B$66</f>
        <v>35405.355096611776</v>
      </c>
    </row>
    <row r="24" spans="1:11">
      <c r="A24" t="s">
        <v>286</v>
      </c>
      <c r="B24" s="279">
        <f>(1-Baseline!J$46/SUM(UF_Calculations_1!B71:B83))*((SUM(UF_Calculations_1!B71:B80)+UF_Calculations_1!B83))</f>
        <v>275971.20683110727</v>
      </c>
      <c r="C24" s="279">
        <f>(1-Baseline!K$46/SUM(UF_Calculations_1!C71:C83))*((SUM(UF_Calculations_1!C71:C80)+UF_Calculations_1!C83))</f>
        <v>283603.35694483254</v>
      </c>
      <c r="D24" s="279">
        <f>(1-Baseline!L$46/SUM(UF_Calculations_1!D71:D83))*((SUM(UF_Calculations_1!D71:D80)+UF_Calculations_1!D83))</f>
        <v>292573.76930134627</v>
      </c>
      <c r="E24" s="279">
        <f>(1-Baseline!M$46/SUM(UF_Calculations_1!E71:E83))*((SUM(UF_Calculations_1!E71:E80)+UF_Calculations_1!E83))</f>
        <v>300767.78731074813</v>
      </c>
      <c r="F24" s="279">
        <f>(1-Baseline!N$46/SUM(UF_Calculations_1!F71:F83))*((SUM(UF_Calculations_1!F71:F80)+UF_Calculations_1!F83))</f>
        <v>308107.95495937084</v>
      </c>
      <c r="G24" s="279">
        <f>(1-Baseline!O$46/SUM(UF_Calculations_1!G71:G83))*((SUM(UF_Calculations_1!G71:G80)+UF_Calculations_1!G83))</f>
        <v>315965.20783774299</v>
      </c>
      <c r="H24" s="279">
        <f>(1-Baseline!P$46/SUM(UF_Calculations_1!H71:H83))*((SUM(UF_Calculations_1!H71:H80)+UF_Calculations_1!H83))</f>
        <v>323879.1808325508</v>
      </c>
      <c r="I24" s="279">
        <f>(1-Baseline!Q$46/SUM(UF_Calculations_1!I71:I83))*((SUM(UF_Calculations_1!I71:I80)+UF_Calculations_1!I83))</f>
        <v>331967.33983010915</v>
      </c>
      <c r="J24" s="279">
        <f>(1-Baseline!R$46/SUM(UF_Calculations_1!J71:J83))*((SUM(UF_Calculations_1!J71:J80)+UF_Calculations_1!J83))</f>
        <v>339949.56744393206</v>
      </c>
      <c r="K24" s="279">
        <f>(1-Baseline!S$46/SUM(UF_Calculations_1!K71:K83))*((SUM(UF_Calculations_1!K71:K80)+UF_Calculations_1!K83))</f>
        <v>347786.76398790866</v>
      </c>
    </row>
    <row r="25" spans="1:11">
      <c r="A25" t="s">
        <v>287</v>
      </c>
      <c r="B25" s="270">
        <f>B24*UF_Assumptions_1!$B$71</f>
        <v>27597.120683110727</v>
      </c>
      <c r="C25" s="270">
        <f>C24*UF_Assumptions_1!$B$71</f>
        <v>28360.335694483256</v>
      </c>
      <c r="D25" s="270">
        <f>D24*UF_Assumptions_1!$B$71</f>
        <v>29257.376930134629</v>
      </c>
      <c r="E25" s="270">
        <f>E24*UF_Assumptions_1!$B$71</f>
        <v>30076.778731074814</v>
      </c>
      <c r="F25" s="270">
        <f>F24*UF_Assumptions_1!$B$71</f>
        <v>30810.795495937084</v>
      </c>
      <c r="G25" s="270">
        <f>G24*UF_Assumptions_1!$B$71</f>
        <v>31596.5207837743</v>
      </c>
      <c r="H25" s="270">
        <f>H24*UF_Assumptions_1!$B$71</f>
        <v>32387.918083255081</v>
      </c>
      <c r="I25" s="270">
        <f>I24*UF_Assumptions_1!$B$71</f>
        <v>33196.733983010919</v>
      </c>
      <c r="J25" s="270">
        <f>J24*UF_Assumptions_1!$B$71</f>
        <v>33994.95674439321</v>
      </c>
      <c r="K25" s="270">
        <f>K24*UF_Assumptions_1!$B$71</f>
        <v>34778.676398790871</v>
      </c>
    </row>
    <row r="26" spans="1:11">
      <c r="A26" t="s">
        <v>98</v>
      </c>
      <c r="B26" s="276">
        <f>B23+B25</f>
        <v>55691.515254824626</v>
      </c>
      <c r="C26" s="276">
        <f t="shared" ref="C26:K26" si="2">C23+C25</f>
        <v>57231.697686775835</v>
      </c>
      <c r="D26" s="276">
        <f t="shared" si="2"/>
        <v>59041.943988668441</v>
      </c>
      <c r="E26" s="276">
        <f t="shared" si="2"/>
        <v>60695.512432307507</v>
      </c>
      <c r="F26" s="276">
        <f t="shared" si="2"/>
        <v>62176.772246583772</v>
      </c>
      <c r="G26" s="276">
        <f t="shared" si="2"/>
        <v>63762.380845254265</v>
      </c>
      <c r="H26" s="276">
        <f t="shared" si="2"/>
        <v>65359.435671471496</v>
      </c>
      <c r="I26" s="276">
        <f t="shared" si="2"/>
        <v>66991.641564862512</v>
      </c>
      <c r="J26" s="276">
        <f t="shared" si="2"/>
        <v>68602.470303219845</v>
      </c>
      <c r="K26" s="276">
        <f t="shared" si="2"/>
        <v>70184.031495402654</v>
      </c>
    </row>
    <row r="28" spans="1:11">
      <c r="A28" t="s">
        <v>322</v>
      </c>
    </row>
    <row r="29" spans="1:11">
      <c r="A29" t="s">
        <v>284</v>
      </c>
      <c r="B29" s="279">
        <f>(1-Baseline!J$46/SUM(UF_Calculations_1!B105:B117))*((SUM(UF_Calculations_1!B105:B114)-UF_Calculations_1!B109-UF_Calculations_1!B111))</f>
        <v>247622.73751494638</v>
      </c>
      <c r="C29" s="279">
        <f>(1-Baseline!K$46/SUM(UF_Calculations_1!C105:C117))*((SUM(UF_Calculations_1!C105:C114)-UF_Calculations_1!C109-UF_Calculations_1!C111))</f>
        <v>257796.81926065916</v>
      </c>
      <c r="D29" s="279">
        <f>(1-Baseline!L$46/SUM(UF_Calculations_1!D105:D117))*((SUM(UF_Calculations_1!D105:D114)-UF_Calculations_1!D109-UF_Calculations_1!D111))</f>
        <v>268395.48858103412</v>
      </c>
      <c r="E29" s="279">
        <f>(1-Baseline!M$46/SUM(UF_Calculations_1!E105:E117))*((SUM(UF_Calculations_1!E105:E114)-UF_Calculations_1!E109-UF_Calculations_1!E111))</f>
        <v>279773.32261795574</v>
      </c>
      <c r="F29" s="279">
        <f>(1-Baseline!N$46/SUM(UF_Calculations_1!F105:F117))*((SUM(UF_Calculations_1!F105:F114)-UF_Calculations_1!F109-UF_Calculations_1!F111))</f>
        <v>291446.47891875706</v>
      </c>
      <c r="G29" s="279">
        <f>(1-Baseline!O$46/SUM(UF_Calculations_1!G105:G117))*((SUM(UF_Calculations_1!G105:G114)-UF_Calculations_1!G109-UF_Calculations_1!G111))</f>
        <v>303505.65674592269</v>
      </c>
      <c r="H29" s="279">
        <f>(1-Baseline!P$46/SUM(UF_Calculations_1!H105:H117))*((SUM(UF_Calculations_1!H105:H114)-UF_Calculations_1!H109-UF_Calculations_1!H111))</f>
        <v>315970.77507268923</v>
      </c>
      <c r="I29" s="279">
        <f>(1-Baseline!Q$46/SUM(UF_Calculations_1!I105:I117))*((SUM(UF_Calculations_1!I105:I114)-UF_Calculations_1!I109-UF_Calculations_1!I111))</f>
        <v>328843.53644111136</v>
      </c>
      <c r="J29" s="279">
        <f>(1-Baseline!R$46/SUM(UF_Calculations_1!J105:J117))*((SUM(UF_Calculations_1!J105:J114)-UF_Calculations_1!J109-UF_Calculations_1!J111))</f>
        <v>342127.06842204125</v>
      </c>
      <c r="K29" s="279">
        <f>(1-Baseline!S$46/SUM(UF_Calculations_1!K105:K117))*((SUM(UF_Calculations_1!K105:K114)-UF_Calculations_1!K109-UF_Calculations_1!K111))</f>
        <v>355823.33115875098</v>
      </c>
    </row>
    <row r="30" spans="1:11">
      <c r="A30" t="s">
        <v>285</v>
      </c>
      <c r="B30" s="270">
        <f>B29*UF_Assumptions_1!$B$66</f>
        <v>28977.128858132022</v>
      </c>
      <c r="C30" s="270">
        <f>C29*UF_Assumptions_1!$B$66</f>
        <v>30167.712892204796</v>
      </c>
      <c r="D30" s="270">
        <f>D29*UF_Assumptions_1!$B$66</f>
        <v>31407.982706291226</v>
      </c>
      <c r="E30" s="270">
        <f>E29*UF_Assumptions_1!$B$66</f>
        <v>32739.43137018631</v>
      </c>
      <c r="F30" s="270">
        <f>F29*UF_Assumptions_1!$B$66</f>
        <v>34105.439022407743</v>
      </c>
      <c r="G30" s="270">
        <f>G29*UF_Assumptions_1!$B$66</f>
        <v>35516.619406437763</v>
      </c>
      <c r="H30" s="270">
        <f>H29*UF_Assumptions_1!$B$66</f>
        <v>36975.303465952995</v>
      </c>
      <c r="I30" s="270">
        <f>I29*UF_Assumptions_1!$B$66</f>
        <v>38481.690434598138</v>
      </c>
      <c r="J30" s="270">
        <f>J29*UF_Assumptions_1!$B$66</f>
        <v>40036.146304706956</v>
      </c>
      <c r="K30" s="270">
        <f>K29*UF_Assumptions_1!$B$66</f>
        <v>41638.900454747454</v>
      </c>
    </row>
    <row r="31" spans="1:11" s="6" customFormat="1">
      <c r="A31" s="6" t="s">
        <v>286</v>
      </c>
      <c r="B31" s="316">
        <f>((1-Baseline!J$46/SUM(UF_Calculations_1!B105:B117))*((SUM(UF_Calculations_1!B105:B114)+UF_Calculations_1!B117)))+((UF_Calculations_1!B109-UF_Calculations_1!B7)*(Baseline!J$46/SUM(UF_Calculations_1!B105:B117)))</f>
        <v>309906.70578977256</v>
      </c>
      <c r="C31" s="316">
        <f>((1-Baseline!K$46/SUM(UF_Calculations_1!C105:C117))*((SUM(UF_Calculations_1!C105:C114)+UF_Calculations_1!C117)))+((UF_Calculations_1!C126-UF_Calculations_1!C7)*(Baseline!K$46/SUM(UF_Calculations_1!C105:C117)))</f>
        <v>323256.74873066216</v>
      </c>
      <c r="D31" s="316">
        <f>((1-Baseline!L$46/SUM(UF_Calculations_1!D105:D117))*((SUM(UF_Calculations_1!D105:D114)+UF_Calculations_1!D117)))+((UF_Calculations_1!D126-UF_Calculations_1!D7)*(Baseline!L$46/SUM(UF_Calculations_1!D105:D117)))</f>
        <v>336534.16735881084</v>
      </c>
      <c r="E31" s="316">
        <f>((1-Baseline!M$46/SUM(UF_Calculations_1!E105:E117))*((SUM(UF_Calculations_1!E105:E114)+UF_Calculations_1!E117)))+((UF_Calculations_1!E126-UF_Calculations_1!E7)*(Baseline!M$46/SUM(UF_Calculations_1!E105:E117)))</f>
        <v>350890.13697758614</v>
      </c>
      <c r="F31" s="316">
        <f>((1-Baseline!N$46/SUM(UF_Calculations_1!F105:F117))*((SUM(UF_Calculations_1!F105:F114)+UF_Calculations_1!F117)))+((UF_Calculations_1!F126-UF_Calculations_1!F7)*(Baseline!N$46/SUM(UF_Calculations_1!F105:F117)))</f>
        <v>365659.7157033913</v>
      </c>
      <c r="G31" s="316">
        <f>((1-Baseline!O$46/SUM(UF_Calculations_1!G105:G117))*((SUM(UF_Calculations_1!G105:G114)+UF_Calculations_1!G117)))+((UF_Calculations_1!G126-UF_Calculations_1!G7)*(Baseline!O$46/SUM(UF_Calculations_1!G105:G117)))</f>
        <v>381005.12952244782</v>
      </c>
      <c r="H31" s="316">
        <f>((1-Baseline!P$46/SUM(UF_Calculations_1!H105:H117))*((SUM(UF_Calculations_1!H105:H114)+UF_Calculations_1!H117)))+((UF_Calculations_1!H126-UF_Calculations_1!H7)*(Baseline!P$46/SUM(UF_Calculations_1!H105:H117)))</f>
        <v>396883.40301320783</v>
      </c>
      <c r="I31" s="316">
        <f>((1-Baseline!Q$46/SUM(UF_Calculations_1!I105:I117))*((SUM(UF_Calculations_1!I105:I114)+UF_Calculations_1!I117)))+((UF_Calculations_1!I126-UF_Calculations_1!I7)*(Baseline!Q$46/SUM(UF_Calculations_1!I105:I117)))</f>
        <v>413288.72461688006</v>
      </c>
      <c r="J31" s="316">
        <f>((1-Baseline!R$46/SUM(UF_Calculations_1!J105:J117))*((SUM(UF_Calculations_1!J105:J114)+UF_Calculations_1!J117)))+((UF_Calculations_1!J126-UF_Calculations_1!J7)*(Baseline!R$46/SUM(UF_Calculations_1!J105:J117)))</f>
        <v>430246.08035978558</v>
      </c>
      <c r="K31" s="316">
        <f>((1-Baseline!S$46/SUM(UF_Calculations_1!K105:K117))*((SUM(UF_Calculations_1!K105:K114)+UF_Calculations_1!K117)))+((UF_Calculations_1!K126-UF_Calculations_1!K7)*(Baseline!S$46/SUM(UF_Calculations_1!K105:K117)))</f>
        <v>447761.99224925519</v>
      </c>
    </row>
    <row r="32" spans="1:11">
      <c r="A32" t="s">
        <v>287</v>
      </c>
      <c r="B32" s="270">
        <f>B31*UF_Assumptions_1!$B$71</f>
        <v>30990.670578977257</v>
      </c>
      <c r="C32" s="270">
        <f>C31*UF_Assumptions_1!$B$71</f>
        <v>32325.674873066218</v>
      </c>
      <c r="D32" s="270">
        <f>D31*UF_Assumptions_1!$B$71</f>
        <v>33653.416735881088</v>
      </c>
      <c r="E32" s="270">
        <f>E31*UF_Assumptions_1!$B$71</f>
        <v>35089.013697758615</v>
      </c>
      <c r="F32" s="270">
        <f>F31*UF_Assumptions_1!$B$71</f>
        <v>36565.971570339134</v>
      </c>
      <c r="G32" s="270">
        <f>G31*UF_Assumptions_1!$B$71</f>
        <v>38100.512952244782</v>
      </c>
      <c r="H32" s="270">
        <f>H31*UF_Assumptions_1!$B$71</f>
        <v>39688.340301320786</v>
      </c>
      <c r="I32" s="270">
        <f>I31*UF_Assumptions_1!$B$71</f>
        <v>41328.872461688006</v>
      </c>
      <c r="J32" s="270">
        <f>J31*UF_Assumptions_1!$B$71</f>
        <v>43024.608035978563</v>
      </c>
      <c r="K32" s="270">
        <f>K31*UF_Assumptions_1!$B$71</f>
        <v>44776.19922492552</v>
      </c>
    </row>
    <row r="33" spans="1:11">
      <c r="A33" t="s">
        <v>98</v>
      </c>
      <c r="B33" s="276">
        <f>B30+B32</f>
        <v>59967.799437109279</v>
      </c>
      <c r="C33" s="276">
        <f t="shared" ref="C33:K33" si="3">C30+C32</f>
        <v>62493.387765271014</v>
      </c>
      <c r="D33" s="276">
        <f t="shared" si="3"/>
        <v>65061.399442172318</v>
      </c>
      <c r="E33" s="276">
        <f t="shared" si="3"/>
        <v>67828.445067944922</v>
      </c>
      <c r="F33" s="276">
        <f t="shared" si="3"/>
        <v>70671.410592746877</v>
      </c>
      <c r="G33" s="276">
        <f t="shared" si="3"/>
        <v>73617.132358682546</v>
      </c>
      <c r="H33" s="276">
        <f t="shared" si="3"/>
        <v>76663.643767273781</v>
      </c>
      <c r="I33" s="276">
        <f t="shared" si="3"/>
        <v>79810.562896286137</v>
      </c>
      <c r="J33" s="276">
        <f t="shared" si="3"/>
        <v>83060.754340685526</v>
      </c>
      <c r="K33" s="276">
        <f t="shared" si="3"/>
        <v>86415.099679672974</v>
      </c>
    </row>
    <row r="34" spans="1:11">
      <c r="B34" s="270"/>
      <c r="C34" s="270"/>
      <c r="D34" s="270"/>
      <c r="E34" s="270"/>
      <c r="F34" s="270"/>
      <c r="G34" s="270"/>
      <c r="H34" s="270"/>
      <c r="I34" s="270"/>
      <c r="J34" s="270"/>
      <c r="K34" s="270"/>
    </row>
    <row r="35" spans="1:11">
      <c r="A35" t="s">
        <v>332</v>
      </c>
    </row>
    <row r="36" spans="1:11">
      <c r="A36" t="s">
        <v>284</v>
      </c>
      <c r="B36" s="279">
        <f>(1-Baseline!J$46/SUM(UF_Calculations_1!B139:B151))*((SUM(UF_Calculations_1!B139:B148)-UF_Calculations_1!B143-UF_Calculations_1!B145))</f>
        <v>247622.73751494638</v>
      </c>
      <c r="C36" s="279">
        <f>(1-Baseline!K$46/SUM(UF_Calculations_1!C139:C151))*((SUM(UF_Calculations_1!C139:C148)-UF_Calculations_1!C143-UF_Calculations_1!C145))</f>
        <v>254788.75612792326</v>
      </c>
      <c r="D36" s="279">
        <f>(1-Baseline!L$46/SUM(UF_Calculations_1!D139:D151))*((SUM(UF_Calculations_1!D139:D148)-UF_Calculations_1!D143-UF_Calculations_1!D145))</f>
        <v>263140.66324749036</v>
      </c>
      <c r="E36" s="279">
        <f>(1-Baseline!M$46/SUM(UF_Calculations_1!E139:E151))*((SUM(UF_Calculations_1!E139:E148)-UF_Calculations_1!E143-UF_Calculations_1!E145))</f>
        <v>270870.95078214584</v>
      </c>
      <c r="F36" s="279">
        <f>(1-Baseline!N$46/SUM(UF_Calculations_1!F139:F151))*((SUM(UF_Calculations_1!F139:F148)-UF_Calculations_1!F143-UF_Calculations_1!F145))</f>
        <v>277915.13432407397</v>
      </c>
      <c r="G36" s="279">
        <f>(1-Baseline!O$46/SUM(UF_Calculations_1!G139:G151))*((SUM(UF_Calculations_1!G139:G148)-UF_Calculations_1!G143-UF_Calculations_1!G145))</f>
        <v>285430.72132075613</v>
      </c>
      <c r="H36" s="279">
        <f>(1-Baseline!P$46/SUM(UF_Calculations_1!H139:H151))*((SUM(UF_Calculations_1!H139:H148)-UF_Calculations_1!H143-UF_Calculations_1!H145))</f>
        <v>293038.61716273177</v>
      </c>
      <c r="I36" s="279">
        <f>(1-Baseline!Q$46/SUM(UF_Calculations_1!I139:I151))*((SUM(UF_Calculations_1!I139:I148)-UF_Calculations_1!I143-UF_Calculations_1!I145))</f>
        <v>300862.31043285306</v>
      </c>
      <c r="J36" s="279">
        <f>(1-Baseline!R$46/SUM(UF_Calculations_1!J139:J151))*((SUM(UF_Calculations_1!J139:J148)-UF_Calculations_1!J143-UF_Calculations_1!J145))</f>
        <v>308649.58188520535</v>
      </c>
      <c r="K36" s="279">
        <f>(1-Baseline!S$46/SUM(UF_Calculations_1!K139:K151))*((SUM(UF_Calculations_1!K139:K148)-UF_Calculations_1!K143-UF_Calculations_1!K145))</f>
        <v>316370.41002465651</v>
      </c>
    </row>
    <row r="37" spans="1:11">
      <c r="A37" t="s">
        <v>285</v>
      </c>
      <c r="B37" s="270">
        <f>B36*UF_Assumptions_1!$B$66</f>
        <v>28977.128858132022</v>
      </c>
      <c r="C37" s="270">
        <f>C36*UF_Assumptions_1!$B$66</f>
        <v>29815.705504331447</v>
      </c>
      <c r="D37" s="270">
        <f>D36*UF_Assumptions_1!$B$66</f>
        <v>30793.056337472277</v>
      </c>
      <c r="E37" s="270">
        <f>E36*UF_Assumptions_1!$B$66</f>
        <v>31697.664453229834</v>
      </c>
      <c r="F37" s="270">
        <f>F36*UF_Assumptions_1!$B$66</f>
        <v>32521.983803880998</v>
      </c>
      <c r="G37" s="270">
        <f>G36*UF_Assumptions_1!$B$66</f>
        <v>33401.467388599121</v>
      </c>
      <c r="H37" s="270">
        <f>H36*UF_Assumptions_1!$B$66</f>
        <v>34291.753072234569</v>
      </c>
      <c r="I37" s="270">
        <f>I36*UF_Assumptions_1!$B$66</f>
        <v>35207.291646397702</v>
      </c>
      <c r="J37" s="270">
        <f>J36*UF_Assumptions_1!$B$66</f>
        <v>36118.568092949565</v>
      </c>
      <c r="K37" s="270">
        <f>K36*UF_Assumptions_1!$B$66</f>
        <v>37022.069258204487</v>
      </c>
    </row>
    <row r="38" spans="1:11" s="6" customFormat="1">
      <c r="A38" s="6" t="s">
        <v>286</v>
      </c>
      <c r="B38" s="316">
        <f>((1-Baseline!J$46/SUM(UF_Calculations_1!B139:B151))*((SUM(UF_Calculations_1!B139:B148)+UF_Calculations_1!B151)))+((UF_Calculations_1!B143-UF_Calculations_1!B7)*(Baseline!J$46/SUM(UF_Calculations_1!B139:B151)))</f>
        <v>309906.70578977256</v>
      </c>
      <c r="C38" s="316">
        <f>((1-Baseline!K$46/SUM(UF_Calculations_1!C139:C151))*((SUM(UF_Calculations_1!C139:C148)+UF_Calculations_1!C151)))+((UF_Calculations_1!C143-UF_Calculations_1!C7)*(Baseline!K$46/SUM(UF_Calculations_1!C139:C151)))</f>
        <v>319164.83582793828</v>
      </c>
      <c r="D38" s="316">
        <f>((1-Baseline!L$46/SUM(UF_Calculations_1!D139:D151))*((SUM(UF_Calculations_1!D139:D148)+UF_Calculations_1!D151)))+((UF_Calculations_1!D143-UF_Calculations_1!D7)*(Baseline!L$46/SUM(UF_Calculations_1!D139:D151)))</f>
        <v>329943.67201603809</v>
      </c>
      <c r="E38" s="316">
        <f>((1-Baseline!M$46/SUM(UF_Calculations_1!E139:E151))*((SUM(UF_Calculations_1!E139:E148)+UF_Calculations_1!E151)))+((UF_Calculations_1!E143-UF_Calculations_1!E7)*(Baseline!M$46/SUM(UF_Calculations_1!E139:E151)))</f>
        <v>339970.49969468813</v>
      </c>
      <c r="F38" s="316">
        <f>((1-Baseline!N$46/SUM(UF_Calculations_1!F139:F151))*((SUM(UF_Calculations_1!F139:F148)+UF_Calculations_1!F151)))+((UF_Calculations_1!F143-UF_Calculations_1!F7)*(Baseline!N$46/SUM(UF_Calculations_1!F139:F151)))</f>
        <v>349207.39171730366</v>
      </c>
      <c r="G38" s="316">
        <f>((1-Baseline!O$46/SUM(UF_Calculations_1!G139:G151))*((SUM(UF_Calculations_1!G139:G148)+UF_Calculations_1!G151)))+((UF_Calculations_1!G143-UF_Calculations_1!G7)*(Baseline!O$46/SUM(UF_Calculations_1!G139:G151)))</f>
        <v>359026.24935011007</v>
      </c>
      <c r="H38" s="316">
        <f>((1-Baseline!P$46/SUM(UF_Calculations_1!H139:H151))*((SUM(UF_Calculations_1!H139:H148)+UF_Calculations_1!H151)))+((UF_Calculations_1!H143-UF_Calculations_1!H7)*(Baseline!P$46/SUM(UF_Calculations_1!H139:H151)))</f>
        <v>369006.04311865766</v>
      </c>
      <c r="I38" s="316">
        <f>((1-Baseline!Q$46/SUM(UF_Calculations_1!I139:I151))*((SUM(UF_Calculations_1!I139:I148)+UF_Calculations_1!I151)))+((UF_Calculations_1!I143-UF_Calculations_1!I7)*(Baseline!Q$46/SUM(UF_Calculations_1!I139:I151)))</f>
        <v>379313.47122939548</v>
      </c>
      <c r="J38" s="316">
        <f>((1-Baseline!R$46/SUM(UF_Calculations_1!J139:J151))*((SUM(UF_Calculations_1!J139:J148)+UF_Calculations_1!J151)))+((UF_Calculations_1!J143-UF_Calculations_1!J7)*(Baseline!R$46/SUM(UF_Calculations_1!J139:J151)))</f>
        <v>389625.42836115067</v>
      </c>
      <c r="K38" s="316">
        <f>((1-Baseline!S$46/SUM(UF_Calculations_1!K139:K151))*((SUM(UF_Calculations_1!K139:K148)+UF_Calculations_1!K151)))+((UF_Calculations_1!K143-UF_Calculations_1!K7)*(Baseline!S$46/SUM(UF_Calculations_1!K139:K151)))</f>
        <v>399908.31622722722</v>
      </c>
    </row>
    <row r="39" spans="1:11">
      <c r="A39" t="s">
        <v>287</v>
      </c>
      <c r="B39" s="270">
        <f>B38*UF_Assumptions_1!$B$71</f>
        <v>30990.670578977257</v>
      </c>
      <c r="C39" s="270">
        <f>C38*UF_Assumptions_1!$B$71</f>
        <v>31916.48358279383</v>
      </c>
      <c r="D39" s="270">
        <f>D38*UF_Assumptions_1!$B$71</f>
        <v>32994.367201603811</v>
      </c>
      <c r="E39" s="270">
        <f>E38*UF_Assumptions_1!$B$71</f>
        <v>33997.049969468811</v>
      </c>
      <c r="F39" s="270">
        <f>F38*UF_Assumptions_1!$B$71</f>
        <v>34920.739171730369</v>
      </c>
      <c r="G39" s="270">
        <f>G38*UF_Assumptions_1!$B$71</f>
        <v>35902.624935011008</v>
      </c>
      <c r="H39" s="270">
        <f>H38*UF_Assumptions_1!$B$71</f>
        <v>36900.604311865769</v>
      </c>
      <c r="I39" s="270">
        <f>I38*UF_Assumptions_1!$B$71</f>
        <v>37931.347122939551</v>
      </c>
      <c r="J39" s="270">
        <f>J38*UF_Assumptions_1!$B$71</f>
        <v>38962.54283611507</v>
      </c>
      <c r="K39" s="270">
        <f>K38*UF_Assumptions_1!$B$71</f>
        <v>39990.831622722726</v>
      </c>
    </row>
    <row r="40" spans="1:11">
      <c r="A40" t="s">
        <v>98</v>
      </c>
      <c r="B40" s="276">
        <f>B37+B39</f>
        <v>59967.799437109279</v>
      </c>
      <c r="C40" s="276">
        <f t="shared" ref="C40:K40" si="4">C37+C39</f>
        <v>61732.189087125276</v>
      </c>
      <c r="D40" s="276">
        <f t="shared" si="4"/>
        <v>63787.423539076088</v>
      </c>
      <c r="E40" s="276">
        <f t="shared" si="4"/>
        <v>65694.714422698642</v>
      </c>
      <c r="F40" s="276">
        <f t="shared" si="4"/>
        <v>67442.722975611367</v>
      </c>
      <c r="G40" s="276">
        <f t="shared" si="4"/>
        <v>69304.092323610123</v>
      </c>
      <c r="H40" s="276">
        <f t="shared" si="4"/>
        <v>71192.357384100338</v>
      </c>
      <c r="I40" s="276">
        <f t="shared" si="4"/>
        <v>73138.638769337253</v>
      </c>
      <c r="J40" s="276">
        <f t="shared" si="4"/>
        <v>75081.110929064627</v>
      </c>
      <c r="K40" s="276">
        <f t="shared" si="4"/>
        <v>77012.90088092722</v>
      </c>
    </row>
    <row r="41" spans="1:11">
      <c r="B41" s="270"/>
      <c r="C41" s="270"/>
      <c r="D41" s="270"/>
      <c r="E41" s="270"/>
      <c r="F41" s="270"/>
      <c r="G41" s="270"/>
      <c r="H41" s="270"/>
      <c r="I41" s="270"/>
      <c r="J41" s="270"/>
      <c r="K41" s="270"/>
    </row>
    <row r="42" spans="1:11">
      <c r="A42" t="s">
        <v>562</v>
      </c>
    </row>
    <row r="43" spans="1:11">
      <c r="A43" t="s">
        <v>284</v>
      </c>
      <c r="B43" s="279">
        <f>(1-Baseline!J$46/SUM(UF_Calculations_1!B173:B185))*((SUM(UF_Calculations_1!B173:B183)-UF_Calculations_1!B177-UF_Calculations_1!B179))</f>
        <v>239394.24722664806</v>
      </c>
      <c r="C43" s="279">
        <f>(1-Baseline!K$46/SUM(UF_Calculations_1!C173:C185))*((SUM(UF_Calculations_1!C173:C183)-UF_Calculations_1!C177-UF_Calculations_1!C179))</f>
        <v>246039.10193443988</v>
      </c>
      <c r="D43" s="279">
        <f>(1-Baseline!L$46/SUM(UF_Calculations_1!D173:D185))*((SUM(UF_Calculations_1!D173:D183)-UF_Calculations_1!D177-UF_Calculations_1!D179))</f>
        <v>253831.4482001533</v>
      </c>
      <c r="E43" s="279">
        <f>(1-Baseline!M$46/SUM(UF_Calculations_1!E173:E185))*((SUM(UF_Calculations_1!E173:E183)-UF_Calculations_1!E177-UF_Calculations_1!E179))</f>
        <v>261002.96183771238</v>
      </c>
      <c r="F43" s="279">
        <f>(1-Baseline!N$46/SUM(UF_Calculations_1!F173:F185))*((SUM(UF_Calculations_1!F173:F183)-UF_Calculations_1!F177-UF_Calculations_1!F179))</f>
        <v>267505.32408827532</v>
      </c>
      <c r="G43" s="279">
        <f>(1-Baseline!O$46/SUM(UF_Calculations_1!G173:G185))*((SUM(UF_Calculations_1!G173:G183)-UF_Calculations_1!G177-UF_Calculations_1!G179))</f>
        <v>274444.17183591292</v>
      </c>
      <c r="H43" s="279">
        <f>(1-Baseline!P$46/SUM(UF_Calculations_1!H173:H185))*((SUM(UF_Calculations_1!H173:H183)-UF_Calculations_1!H177-UF_Calculations_1!H179))</f>
        <v>281430.93198829039</v>
      </c>
      <c r="I43" s="279">
        <f>(1-Baseline!Q$46/SUM(UF_Calculations_1!I173:I185))*((SUM(UF_Calculations_1!I173:I183)-UF_Calculations_1!I177-UF_Calculations_1!I179))</f>
        <v>288588.22824678285</v>
      </c>
      <c r="J43" s="279">
        <f>(1-Baseline!R$46/SUM(UF_Calculations_1!J173:J185))*((SUM(UF_Calculations_1!J173:J183)-UF_Calculations_1!J177-UF_Calculations_1!J179))</f>
        <v>295669.82815327385</v>
      </c>
      <c r="K43" s="279">
        <f>(1-Baseline!S$46/SUM(UF_Calculations_1!K173:K185))*((SUM(UF_Calculations_1!K173:K183)-UF_Calculations_1!K177-UF_Calculations_1!K179))</f>
        <v>302648.21035569697</v>
      </c>
    </row>
    <row r="44" spans="1:11">
      <c r="A44" t="s">
        <v>285</v>
      </c>
      <c r="B44" s="379">
        <f>B43*UF_Assumptions_1!$B$67</f>
        <v>25072.727276025002</v>
      </c>
      <c r="C44" s="379">
        <f>C43*UF_Assumptions_1!$B$67</f>
        <v>25768.669771750647</v>
      </c>
      <c r="D44" s="379">
        <f>D43*UF_Assumptions_1!$B$67</f>
        <v>26584.793697133078</v>
      </c>
      <c r="E44" s="379">
        <f>E43*UF_Assumptions_1!$B$67</f>
        <v>27335.895311619985</v>
      </c>
      <c r="F44" s="379">
        <f>F43*UF_Assumptions_1!$B$67</f>
        <v>28016.913996266707</v>
      </c>
      <c r="G44" s="379">
        <f>G43*UF_Assumptions_1!$B$67</f>
        <v>28743.647571537902</v>
      </c>
      <c r="H44" s="379">
        <f>H43*UF_Assumptions_1!$B$67</f>
        <v>29475.399206645947</v>
      </c>
      <c r="I44" s="379">
        <f>I43*UF_Assumptions_1!$B$67</f>
        <v>30225.011777548694</v>
      </c>
      <c r="J44" s="379">
        <f>J43*UF_Assumptions_1!$B$67</f>
        <v>30966.696363499799</v>
      </c>
      <c r="K44" s="379">
        <f>K43*UF_Assumptions_1!$B$67</f>
        <v>31697.570542040816</v>
      </c>
    </row>
    <row r="45" spans="1:11">
      <c r="A45" t="s">
        <v>286</v>
      </c>
      <c r="B45" s="279">
        <f>(1-Baseline!J$46/SUM(UF_Calculations_1!B173:B185))*((SUM(UF_Calculations_1!B173:B182)+UF_Calculations_1!B185))</f>
        <v>282997.07460290729</v>
      </c>
      <c r="C45" s="279">
        <f>(1-Baseline!K$46/SUM(UF_Calculations_1!C173:C185))*((SUM(UF_Calculations_1!C173:C182)+UF_Calculations_1!C185))</f>
        <v>290932.9228998496</v>
      </c>
      <c r="D45" s="279">
        <f>(1-Baseline!L$46/SUM(UF_Calculations_1!D173:D185))*((SUM(UF_Calculations_1!D173:D182)+UF_Calculations_1!D185))</f>
        <v>300269.27822683699</v>
      </c>
      <c r="E45" s="279">
        <f>(1-Baseline!M$46/SUM(UF_Calculations_1!E173:E185))*((SUM(UF_Calculations_1!E173:E182)+UF_Calculations_1!E185))</f>
        <v>308816.19077280542</v>
      </c>
      <c r="F45" s="279">
        <f>(1-Baseline!N$46/SUM(UF_Calculations_1!F173:F185))*((SUM(UF_Calculations_1!F173:F182)+UF_Calculations_1!F185))</f>
        <v>316542.48718218697</v>
      </c>
      <c r="G45" s="279">
        <f>(1-Baseline!O$46/SUM(UF_Calculations_1!G173:G185))*((SUM(UF_Calculations_1!G173:G182)+UF_Calculations_1!G185))</f>
        <v>324820.79870282137</v>
      </c>
      <c r="H45" s="279">
        <f>(1-Baseline!P$46/SUM(UF_Calculations_1!H173:H185))*((SUM(UF_Calculations_1!H173:H182)+UF_Calculations_1!H185))</f>
        <v>333179.61391809612</v>
      </c>
      <c r="I45" s="279">
        <f>(1-Baseline!Q$46/SUM(UF_Calculations_1!I173:I185))*((SUM(UF_Calculations_1!I173:I182)+UF_Calculations_1!I185))</f>
        <v>341731.10130024404</v>
      </c>
      <c r="J45" s="279">
        <f>(1-Baseline!R$46/SUM(UF_Calculations_1!J173:J185))*((SUM(UF_Calculations_1!J173:J182)+UF_Calculations_1!J185))</f>
        <v>350196.2756776188</v>
      </c>
      <c r="K45" s="279">
        <f>(1-Baseline!S$46/SUM(UF_Calculations_1!K173:K185))*((SUM(UF_Calculations_1!K173:K182)+UF_Calculations_1!K185))</f>
        <v>358542.43713617779</v>
      </c>
    </row>
    <row r="46" spans="1:11">
      <c r="A46" t="s">
        <v>287</v>
      </c>
      <c r="B46" s="279">
        <f>B45*UF_Assumptions_1!$B$71</f>
        <v>28299.707460290731</v>
      </c>
      <c r="C46" s="279">
        <f>C45*UF_Assumptions_1!$B$71</f>
        <v>29093.292289984962</v>
      </c>
      <c r="D46" s="279">
        <f>D45*UF_Assumptions_1!$B$71</f>
        <v>30026.927822683701</v>
      </c>
      <c r="E46" s="279">
        <f>E45*UF_Assumptions_1!$B$71</f>
        <v>30881.619077280542</v>
      </c>
      <c r="F46" s="279">
        <f>F45*UF_Assumptions_1!$B$71</f>
        <v>31654.2487182187</v>
      </c>
      <c r="G46" s="279">
        <f>G45*UF_Assumptions_1!$B$71</f>
        <v>32482.079870282138</v>
      </c>
      <c r="H46" s="279">
        <f>H45*UF_Assumptions_1!$B$71</f>
        <v>33317.961391809615</v>
      </c>
      <c r="I46" s="279">
        <f>I45*UF_Assumptions_1!$B$71</f>
        <v>34173.110130024404</v>
      </c>
      <c r="J46" s="279">
        <f>J45*UF_Assumptions_1!$B$71</f>
        <v>35019.627567761883</v>
      </c>
      <c r="K46" s="279">
        <f>K45*UF_Assumptions_1!$B$71</f>
        <v>35854.243713617783</v>
      </c>
    </row>
    <row r="47" spans="1:11">
      <c r="A47" t="s">
        <v>98</v>
      </c>
      <c r="B47" s="379">
        <f>B44+B46</f>
        <v>53372.434736315729</v>
      </c>
      <c r="C47" s="379">
        <f t="shared" ref="C47:K47" si="5">C44+C46</f>
        <v>54861.962061735612</v>
      </c>
      <c r="D47" s="379">
        <f t="shared" si="5"/>
        <v>56611.721519816783</v>
      </c>
      <c r="E47" s="379">
        <f t="shared" si="5"/>
        <v>58217.514388900527</v>
      </c>
      <c r="F47" s="379">
        <f t="shared" si="5"/>
        <v>59671.162714485406</v>
      </c>
      <c r="G47" s="379">
        <f t="shared" si="5"/>
        <v>61225.72744182004</v>
      </c>
      <c r="H47" s="379">
        <f t="shared" si="5"/>
        <v>62793.360598455562</v>
      </c>
      <c r="I47" s="379">
        <f t="shared" si="5"/>
        <v>64398.121907573099</v>
      </c>
      <c r="J47" s="379">
        <f t="shared" si="5"/>
        <v>65986.323931261679</v>
      </c>
      <c r="K47" s="379">
        <f t="shared" si="5"/>
        <v>67551.814255658595</v>
      </c>
    </row>
    <row r="48" spans="1:11">
      <c r="B48" s="270"/>
      <c r="C48" s="270"/>
      <c r="D48" s="270"/>
      <c r="E48" s="270"/>
      <c r="F48" s="270"/>
      <c r="G48" s="270"/>
      <c r="H48" s="270"/>
      <c r="I48" s="270"/>
      <c r="J48" s="270"/>
      <c r="K48" s="270"/>
    </row>
    <row r="49" spans="1:11">
      <c r="A49" t="s">
        <v>561</v>
      </c>
    </row>
    <row r="50" spans="1:11">
      <c r="A50" t="s">
        <v>284</v>
      </c>
      <c r="B50" s="279">
        <f>(1-Baseline!J$46/SUM(UF_Calculations_1!B207:B219))*((SUM(UF_Calculations_1!B207:B217)-UF_Calculations_1!B211-UF_Calculations_1!B213))</f>
        <v>239394.24722664806</v>
      </c>
      <c r="C50" s="279">
        <f>(1-Baseline!K$46/SUM(UF_Calculations_1!C207:C219))*((SUM(UF_Calculations_1!C207:C217)-UF_Calculations_1!C211-UF_Calculations_1!C213))</f>
        <v>248942.33179237958</v>
      </c>
      <c r="D50" s="279">
        <f>(1-Baseline!L$46/SUM(UF_Calculations_1!D207:D219))*((SUM(UF_Calculations_1!D207:D217)-UF_Calculations_1!D211-UF_Calculations_1!D213))</f>
        <v>258864.81885731983</v>
      </c>
      <c r="E50" s="279">
        <f>(1-Baseline!M$46/SUM(UF_Calculations_1!E207:E219))*((SUM(UF_Calculations_1!E207:E217)-UF_Calculations_1!E211-UF_Calculations_1!E213))</f>
        <v>269538.64973356709</v>
      </c>
      <c r="F50" s="279">
        <f>(1-Baseline!N$46/SUM(UF_Calculations_1!F207:F219))*((SUM(UF_Calculations_1!F207:F217)-UF_Calculations_1!F211-UF_Calculations_1!F213))</f>
        <v>280481.33030810417</v>
      </c>
      <c r="G50" s="279">
        <f>(1-Baseline!O$46/SUM(UF_Calculations_1!G207:G219))*((SUM(UF_Calculations_1!G207:G217)-UF_Calculations_1!G211-UF_Calculations_1!G213))</f>
        <v>291754.07631998311</v>
      </c>
      <c r="H50" s="279">
        <f>(1-Baseline!P$46/SUM(UF_Calculations_1!H207:H219))*((SUM(UF_Calculations_1!H207:H217)-UF_Calculations_1!H211-UF_Calculations_1!H213))</f>
        <v>303371.19446082867</v>
      </c>
      <c r="I50" s="279">
        <f>(1-Baseline!Q$46/SUM(UF_Calculations_1!I207:I219))*((SUM(UF_Calculations_1!I207:I217)-UF_Calculations_1!I211-UF_Calculations_1!I213))</f>
        <v>315352.00891915435</v>
      </c>
      <c r="J50" s="279">
        <f>(1-Baseline!R$46/SUM(UF_Calculations_1!J207:J219))*((SUM(UF_Calculations_1!J207:J217)-UF_Calculations_1!J211-UF_Calculations_1!J213))</f>
        <v>327687.71583099983</v>
      </c>
      <c r="K50" s="279">
        <f>(1-Baseline!S$46/SUM(UF_Calculations_1!K207:K219))*((SUM(UF_Calculations_1!K207:K217)-UF_Calculations_1!K211-UF_Calculations_1!K213))</f>
        <v>340376.98373714735</v>
      </c>
    </row>
    <row r="51" spans="1:11">
      <c r="A51" t="s">
        <v>285</v>
      </c>
      <c r="B51" s="379">
        <f>B50*UF_Assumptions_1!$B$67</f>
        <v>25072.727276025002</v>
      </c>
      <c r="C51" s="379">
        <f>C50*UF_Assumptions_1!$B$67</f>
        <v>26072.736771233798</v>
      </c>
      <c r="D51" s="379">
        <f>D50*UF_Assumptions_1!$B$67</f>
        <v>27111.958953726742</v>
      </c>
      <c r="E51" s="379">
        <f>E50*UF_Assumptions_1!$B$67</f>
        <v>28229.872410925193</v>
      </c>
      <c r="F51" s="379">
        <f>F50*UF_Assumptions_1!$B$67</f>
        <v>29375.943583864741</v>
      </c>
      <c r="G51" s="379">
        <f>G50*UF_Assumptions_1!$B$67</f>
        <v>30556.583844364188</v>
      </c>
      <c r="H51" s="379">
        <f>H50*UF_Assumptions_1!$B$67</f>
        <v>31773.29159007296</v>
      </c>
      <c r="I51" s="379">
        <f>I50*UF_Assumptions_1!$B$67</f>
        <v>33028.090721373133</v>
      </c>
      <c r="J51" s="379">
        <f>J50*UF_Assumptions_1!$B$67</f>
        <v>34320.059174002061</v>
      </c>
      <c r="K51" s="379">
        <f>K50*UF_Assumptions_1!$B$67</f>
        <v>35649.057498853363</v>
      </c>
    </row>
    <row r="52" spans="1:11">
      <c r="A52" t="s">
        <v>286</v>
      </c>
      <c r="B52" s="279">
        <f>(1-Baseline!J$46/SUM(UF_Calculations_1!B207:B219))*((SUM(UF_Calculations_1!B207:B216)+UF_Calculations_1!B219))</f>
        <v>282997.07460290729</v>
      </c>
      <c r="C52" s="279">
        <f>(1-Baseline!K$46/SUM(UF_Calculations_1!C207:C219))*((SUM(UF_Calculations_1!C207:C216)+UF_Calculations_1!C219))</f>
        <v>294341.7785677326</v>
      </c>
      <c r="D52" s="279">
        <f>(1-Baseline!L$46/SUM(UF_Calculations_1!D207:D219))*((SUM(UF_Calculations_1!D207:D216)+UF_Calculations_1!D219))</f>
        <v>305996.12344890321</v>
      </c>
      <c r="E52" s="279">
        <f>(1-Baseline!M$46/SUM(UF_Calculations_1!E207:E219))*((SUM(UF_Calculations_1!E207:E216)+UF_Calculations_1!E219))</f>
        <v>318556.21121349395</v>
      </c>
      <c r="F52" s="279">
        <f>(1-Baseline!N$46/SUM(UF_Calculations_1!F207:F219))*((SUM(UF_Calculations_1!F207:F216)+UF_Calculations_1!F219))</f>
        <v>331412.92204280983</v>
      </c>
      <c r="G52" s="279">
        <f>(1-Baseline!O$46/SUM(UF_Calculations_1!G207:G219))*((SUM(UF_Calculations_1!G207:G216)+UF_Calculations_1!G219))</f>
        <v>344762.72069621709</v>
      </c>
      <c r="H52" s="279">
        <f>(1-Baseline!P$46/SUM(UF_Calculations_1!H207:H219))*((SUM(UF_Calculations_1!H207:H216)+UF_Calculations_1!H219))</f>
        <v>358547.68394196039</v>
      </c>
      <c r="I52" s="279">
        <f>(1-Baseline!Q$46/SUM(UF_Calculations_1!I207:I219))*((SUM(UF_Calculations_1!I207:I216)+UF_Calculations_1!I219))</f>
        <v>372706.8637516998</v>
      </c>
      <c r="J52" s="279">
        <f>(1-Baseline!R$46/SUM(UF_Calculations_1!J207:J219))*((SUM(UF_Calculations_1!J207:J216)+UF_Calculations_1!J219))</f>
        <v>387282.64771136909</v>
      </c>
      <c r="K52" s="279">
        <f>(1-Baseline!S$46/SUM(UF_Calculations_1!K207:K219))*((SUM(UF_Calculations_1!K207:K216)+UF_Calculations_1!K219))</f>
        <v>402273.16666599264</v>
      </c>
    </row>
    <row r="53" spans="1:11">
      <c r="A53" t="s">
        <v>287</v>
      </c>
      <c r="B53" s="279">
        <f>B52*UF_Assumptions_1!$B$71</f>
        <v>28299.707460290731</v>
      </c>
      <c r="C53" s="279">
        <f>C52*UF_Assumptions_1!$B$71</f>
        <v>29434.177856773262</v>
      </c>
      <c r="D53" s="279">
        <f>D52*UF_Assumptions_1!$B$71</f>
        <v>30599.612344890324</v>
      </c>
      <c r="E53" s="279">
        <f>E52*UF_Assumptions_1!$B$71</f>
        <v>31855.621121349395</v>
      </c>
      <c r="F53" s="279">
        <f>F52*UF_Assumptions_1!$B$71</f>
        <v>33141.292204280988</v>
      </c>
      <c r="G53" s="279">
        <f>G52*UF_Assumptions_1!$B$71</f>
        <v>34476.272069621707</v>
      </c>
      <c r="H53" s="279">
        <f>H52*UF_Assumptions_1!$B$71</f>
        <v>35854.768394196042</v>
      </c>
      <c r="I53" s="279">
        <f>I52*UF_Assumptions_1!$B$71</f>
        <v>37270.686375169978</v>
      </c>
      <c r="J53" s="279">
        <f>J52*UF_Assumptions_1!$B$71</f>
        <v>38728.264771136914</v>
      </c>
      <c r="K53" s="279">
        <f>K52*UF_Assumptions_1!$B$71</f>
        <v>40227.316666599269</v>
      </c>
    </row>
    <row r="54" spans="1:11">
      <c r="A54" t="s">
        <v>98</v>
      </c>
      <c r="B54" s="379">
        <f>B51+B53</f>
        <v>53372.434736315729</v>
      </c>
      <c r="C54" s="379">
        <f t="shared" ref="C54:K54" si="6">C51+C53</f>
        <v>55506.914628007056</v>
      </c>
      <c r="D54" s="379">
        <f t="shared" si="6"/>
        <v>57711.571298617069</v>
      </c>
      <c r="E54" s="379">
        <f t="shared" si="6"/>
        <v>60085.493532274588</v>
      </c>
      <c r="F54" s="379">
        <f t="shared" si="6"/>
        <v>62517.235788145728</v>
      </c>
      <c r="G54" s="379">
        <f t="shared" si="6"/>
        <v>65032.855913985899</v>
      </c>
      <c r="H54" s="379">
        <f t="shared" si="6"/>
        <v>67628.059984268999</v>
      </c>
      <c r="I54" s="379">
        <f t="shared" si="6"/>
        <v>70298.777096543112</v>
      </c>
      <c r="J54" s="379">
        <f t="shared" si="6"/>
        <v>73048.323945138982</v>
      </c>
      <c r="K54" s="379">
        <f t="shared" si="6"/>
        <v>75876.374165452638</v>
      </c>
    </row>
    <row r="55" spans="1:11">
      <c r="B55" s="270"/>
      <c r="C55" s="270"/>
      <c r="D55" s="270"/>
      <c r="E55" s="270"/>
      <c r="F55" s="270"/>
      <c r="G55" s="270"/>
      <c r="H55" s="270"/>
      <c r="I55" s="270"/>
      <c r="J55" s="270"/>
      <c r="K55" s="270"/>
    </row>
    <row r="56" spans="1:11">
      <c r="A56" t="s">
        <v>560</v>
      </c>
    </row>
    <row r="57" spans="1:11">
      <c r="A57" t="s">
        <v>284</v>
      </c>
      <c r="B57" s="279">
        <f>(1-Baseline!J$46/SUM(UF_Calculations_1!B241:B253))*((SUM(UF_Calculations_1!B241:B250)-UF_Calculations_1!B245-UF_Calculations_1!B247))</f>
        <v>223627.19358574654</v>
      </c>
      <c r="C57" s="279">
        <f>(1-Baseline!K$46/SUM(UF_Calculations_1!C241:C253))*((SUM(UF_Calculations_1!C241:C250)-UF_Calculations_1!C245-UF_Calculations_1!C247))</f>
        <v>229574.35302172645</v>
      </c>
      <c r="D57" s="279">
        <f>(1-Baseline!L$46/SUM(UF_Calculations_1!D241:D253))*((SUM(UF_Calculations_1!D241:D250)-UF_Calculations_1!D245-UF_Calculations_1!D247))</f>
        <v>236647.2157970595</v>
      </c>
      <c r="E57" s="279">
        <f>(1-Baseline!M$46/SUM(UF_Calculations_1!E241:E253))*((SUM(UF_Calculations_1!E241:E250)-UF_Calculations_1!E245-UF_Calculations_1!E247))</f>
        <v>243017.69042414965</v>
      </c>
      <c r="F57" s="279">
        <f>(1-Baseline!N$46/SUM(UF_Calculations_1!F241:F253))*((SUM(UF_Calculations_1!F241:F250)-UF_Calculations_1!F245-UF_Calculations_1!F247))</f>
        <v>248661.46715973184</v>
      </c>
      <c r="G57" s="279">
        <f>(1-Baseline!O$46/SUM(UF_Calculations_1!G241:G253))*((SUM(UF_Calculations_1!G241:G250)-UF_Calculations_1!G245-UF_Calculations_1!G247))</f>
        <v>254736.06471745108</v>
      </c>
      <c r="H57" s="279">
        <f>(1-Baseline!P$46/SUM(UF_Calculations_1!H241:H253))*((SUM(UF_Calculations_1!H241:H250)-UF_Calculations_1!H245-UF_Calculations_1!H247))</f>
        <v>260832.99265004654</v>
      </c>
      <c r="I57" s="279">
        <f>(1-Baseline!Q$46/SUM(UF_Calculations_1!I241:I253))*((SUM(UF_Calculations_1!I241:I250)-UF_Calculations_1!I245-UF_Calculations_1!I247))</f>
        <v>267020.82030435547</v>
      </c>
      <c r="J57" s="279">
        <f>(1-Baseline!R$46/SUM(UF_Calculations_1!J241:J253))*((SUM(UF_Calculations_1!J241:J250)-UF_Calculations_1!J245-UF_Calculations_1!J247))</f>
        <v>273080.96478688269</v>
      </c>
      <c r="K57" s="279">
        <f>(1-Baseline!S$46/SUM(UF_Calculations_1!K241:K253))*((SUM(UF_Calculations_1!K241:K250)-UF_Calculations_1!K245-UF_Calculations_1!K247))</f>
        <v>278983.09395189199</v>
      </c>
    </row>
    <row r="58" spans="1:11">
      <c r="A58" t="s">
        <v>285</v>
      </c>
      <c r="B58" s="379">
        <f>B57*UF_Assumptions_1!$B$67</f>
        <v>23421.380009060369</v>
      </c>
      <c r="C58" s="379">
        <f>C57*UF_Assumptions_1!$B$67</f>
        <v>24044.250058498903</v>
      </c>
      <c r="D58" s="379">
        <f>D57*UF_Assumptions_1!$B$67</f>
        <v>24785.019569383519</v>
      </c>
      <c r="E58" s="379">
        <f>E57*UF_Assumptions_1!$B$67</f>
        <v>25452.225130061208</v>
      </c>
      <c r="F58" s="379">
        <f>F57*UF_Assumptions_1!$B$67</f>
        <v>26043.320682846384</v>
      </c>
      <c r="G58" s="379">
        <f>G57*UF_Assumptions_1!$B$67</f>
        <v>26679.537841950063</v>
      </c>
      <c r="H58" s="379">
        <f>H57*UF_Assumptions_1!$B$67</f>
        <v>27318.093751486256</v>
      </c>
      <c r="I58" s="379">
        <f>I57*UF_Assumptions_1!$B$67</f>
        <v>27966.169956344464</v>
      </c>
      <c r="J58" s="379">
        <f>J57*UF_Assumptions_1!$B$67</f>
        <v>28600.873386455958</v>
      </c>
      <c r="K58" s="379">
        <f>K57*UF_Assumptions_1!$B$67</f>
        <v>29219.027233578476</v>
      </c>
    </row>
    <row r="59" spans="1:11">
      <c r="A59" t="s">
        <v>286</v>
      </c>
      <c r="B59" s="279">
        <f>(1-Baseline!J$46/SUM(UF_Calculations_1!B241:B253))*((SUM(UF_Calculations_1!B241:B250)+UF_Calculations_1!B253))</f>
        <v>258311.029965697</v>
      </c>
      <c r="C59" s="279">
        <f>(1-Baseline!K$46/SUM(UF_Calculations_1!C241:C253))*((SUM(UF_Calculations_1!C241:C250)+UF_Calculations_1!C253))</f>
        <v>265180.57411480398</v>
      </c>
      <c r="D59" s="279">
        <f>(1-Baseline!L$46/SUM(UF_Calculations_1!D241:D253))*((SUM(UF_Calculations_1!D241:D250)+UF_Calculations_1!D253))</f>
        <v>273350.41445938527</v>
      </c>
      <c r="E59" s="279">
        <f>(1-Baseline!M$46/SUM(UF_Calculations_1!E241:E253))*((SUM(UF_Calculations_1!E241:E250)+UF_Calculations_1!E253))</f>
        <v>280708.928582414</v>
      </c>
      <c r="F59" s="279">
        <f>(1-Baseline!N$46/SUM(UF_Calculations_1!F241:F253))*((SUM(UF_Calculations_1!F241:F250)+UF_Calculations_1!F253))</f>
        <v>287228.03638003382</v>
      </c>
      <c r="G59" s="279">
        <f>(1-Baseline!O$46/SUM(UF_Calculations_1!G241:G253))*((SUM(UF_Calculations_1!G241:G250)+UF_Calculations_1!G253))</f>
        <v>294244.7838810925</v>
      </c>
      <c r="H59" s="279">
        <f>(1-Baseline!P$46/SUM(UF_Calculations_1!H241:H253))*((SUM(UF_Calculations_1!H241:H250)+UF_Calculations_1!H253))</f>
        <v>301287.32512414351</v>
      </c>
      <c r="I59" s="279">
        <f>(1-Baseline!Q$46/SUM(UF_Calculations_1!I241:I253))*((SUM(UF_Calculations_1!I241:I250)+UF_Calculations_1!I253))</f>
        <v>308434.86433440453</v>
      </c>
      <c r="J59" s="279">
        <f>(1-Baseline!R$46/SUM(UF_Calculations_1!J241:J253))*((SUM(UF_Calculations_1!J241:J250)+UF_Calculations_1!J253))</f>
        <v>315434.9171362223</v>
      </c>
      <c r="K59" s="279">
        <f>(1-Baseline!S$46/SUM(UF_Calculations_1!K241:K253))*((SUM(UF_Calculations_1!K241:K250)+UF_Calculations_1!K253))</f>
        <v>322252.44696861069</v>
      </c>
    </row>
    <row r="60" spans="1:11">
      <c r="A60" t="s">
        <v>287</v>
      </c>
      <c r="B60" s="279">
        <f>B59*UF_Assumptions_1!$B$71</f>
        <v>25831.102996569702</v>
      </c>
      <c r="C60" s="279">
        <f>C59*UF_Assumptions_1!$B$71</f>
        <v>26518.0574114804</v>
      </c>
      <c r="D60" s="279">
        <f>D59*UF_Assumptions_1!$B$71</f>
        <v>27335.041445938528</v>
      </c>
      <c r="E60" s="279">
        <f>E59*UF_Assumptions_1!$B$71</f>
        <v>28070.892858241401</v>
      </c>
      <c r="F60" s="279">
        <f>F59*UF_Assumptions_1!$B$71</f>
        <v>28722.803638003385</v>
      </c>
      <c r="G60" s="279">
        <f>G59*UF_Assumptions_1!$B$71</f>
        <v>29424.478388109252</v>
      </c>
      <c r="H60" s="279">
        <f>H59*UF_Assumptions_1!$B$71</f>
        <v>30128.732512414354</v>
      </c>
      <c r="I60" s="279">
        <f>I59*UF_Assumptions_1!$B$71</f>
        <v>30843.486433440456</v>
      </c>
      <c r="J60" s="279">
        <f>J59*UF_Assumptions_1!$B$71</f>
        <v>31543.491713622232</v>
      </c>
      <c r="K60" s="279">
        <f>K59*UF_Assumptions_1!$B$71</f>
        <v>32225.244696861071</v>
      </c>
    </row>
    <row r="61" spans="1:11">
      <c r="A61" t="s">
        <v>98</v>
      </c>
      <c r="B61" s="276">
        <f>B58+B60</f>
        <v>49252.483005630071</v>
      </c>
      <c r="C61" s="276">
        <f t="shared" ref="C61:K61" si="7">C58+C60</f>
        <v>50562.307469979307</v>
      </c>
      <c r="D61" s="276">
        <f t="shared" si="7"/>
        <v>52120.061015322048</v>
      </c>
      <c r="E61" s="276">
        <f t="shared" si="7"/>
        <v>53523.117988302605</v>
      </c>
      <c r="F61" s="276">
        <f t="shared" si="7"/>
        <v>54766.124320849769</v>
      </c>
      <c r="G61" s="276">
        <f t="shared" si="7"/>
        <v>56104.016230059315</v>
      </c>
      <c r="H61" s="276">
        <f t="shared" si="7"/>
        <v>57446.826263900613</v>
      </c>
      <c r="I61" s="276">
        <f t="shared" si="7"/>
        <v>58809.656389784919</v>
      </c>
      <c r="J61" s="276">
        <f t="shared" si="7"/>
        <v>60144.36510007819</v>
      </c>
      <c r="K61" s="276">
        <f t="shared" si="7"/>
        <v>61444.271930439543</v>
      </c>
    </row>
    <row r="62" spans="1:11">
      <c r="B62" s="276"/>
      <c r="C62" s="276"/>
      <c r="D62" s="276"/>
      <c r="E62" s="276"/>
      <c r="F62" s="276"/>
      <c r="G62" s="276"/>
      <c r="H62" s="276"/>
      <c r="I62" s="276"/>
      <c r="J62" s="276"/>
      <c r="K62" s="276"/>
    </row>
    <row r="63" spans="1:11">
      <c r="A63" t="s">
        <v>321</v>
      </c>
    </row>
    <row r="64" spans="1:11">
      <c r="A64" t="s">
        <v>284</v>
      </c>
      <c r="B64" s="279">
        <f>(1-Baseline!J$46/SUM(UF_Calculations_1!B20:B32))*((SUM(UF_Calculations_1!B20:B29)-UF_Calculations_1!B24-UF_Calculations_1!B26))</f>
        <v>236599.76631242145</v>
      </c>
      <c r="C64" s="279">
        <f>(1-Baseline!K$46/SUM(UF_Calculations_1!C20:C32))*((SUM(UF_Calculations_1!C20:C29)-UF_Calculations_1!C24-UF_Calculations_1!C26))</f>
        <v>246156.60975205258</v>
      </c>
      <c r="D64" s="279">
        <f>(1-Baseline!L$46/SUM(UF_Calculations_1!D20:D32))*((SUM(UF_Calculations_1!D20:D29)-UF_Calculations_1!D24-UF_Calculations_1!D26))</f>
        <v>256131.37256595361</v>
      </c>
      <c r="E64" s="279">
        <f>(1-Baseline!M$46/SUM(UF_Calculations_1!E20:E32))*((SUM(UF_Calculations_1!E20:E29)-UF_Calculations_1!E24-UF_Calculations_1!E26))</f>
        <v>266815.8617393485</v>
      </c>
      <c r="F64" s="279">
        <f>(1-Baseline!N$46/SUM(UF_Calculations_1!F20:F32))*((SUM(UF_Calculations_1!F20:F29)-UF_Calculations_1!F24-UF_Calculations_1!F26))</f>
        <v>277758.99600986572</v>
      </c>
      <c r="G64" s="279">
        <f>(1-Baseline!O$46/SUM(UF_Calculations_1!G20:G32))*((SUM(UF_Calculations_1!G20:G29)-UF_Calculations_1!G24-UF_Calculations_1!G26))</f>
        <v>289047.37123516173</v>
      </c>
      <c r="H64" s="279">
        <f>(1-Baseline!P$46/SUM(UF_Calculations_1!H20:H32))*((SUM(UF_Calculations_1!H20:H29)-UF_Calculations_1!H24-UF_Calculations_1!H26))</f>
        <v>300711.45058424975</v>
      </c>
      <c r="I64" s="279">
        <f>(1-Baseline!Q$46/SUM(UF_Calculations_1!I20:I32))*((SUM(UF_Calculations_1!I20:I29)-UF_Calculations_1!I24-UF_Calculations_1!I26))</f>
        <v>312726.87730695389</v>
      </c>
      <c r="J64" s="279">
        <f>(1-Baseline!R$46/SUM(UF_Calculations_1!J20:J32))*((SUM(UF_Calculations_1!J20:J29)-UF_Calculations_1!J24-UF_Calculations_1!J26))</f>
        <v>325103.63169493718</v>
      </c>
      <c r="K64" s="279">
        <f>(1-Baseline!S$46/SUM(UF_Calculations_1!K20:K32))*((SUM(UF_Calculations_1!K20:K29)-UF_Calculations_1!K24-UF_Calculations_1!K26))</f>
        <v>337840.7567503319</v>
      </c>
    </row>
    <row r="65" spans="1:12">
      <c r="A65" t="s">
        <v>285</v>
      </c>
      <c r="B65" s="276">
        <f>B64*UF_Assumptions_1!$B$68</f>
        <v>13843.603348067212</v>
      </c>
      <c r="C65" s="276">
        <f>C64*UF_Assumptions_1!$B$68</f>
        <v>14402.780357832864</v>
      </c>
      <c r="D65" s="276">
        <f>D64*UF_Assumptions_1!$B$68</f>
        <v>14986.410096944095</v>
      </c>
      <c r="E65" s="276">
        <f>E64*UF_Assumptions_1!$B$68</f>
        <v>15611.566378366137</v>
      </c>
      <c r="F65" s="276">
        <f>F64*UF_Assumptions_1!$B$68</f>
        <v>16251.85614951342</v>
      </c>
      <c r="G65" s="276">
        <f>G64*UF_Assumptions_1!$B$68</f>
        <v>16912.346189291377</v>
      </c>
      <c r="H65" s="276">
        <f>H64*UF_Assumptions_1!$B$68</f>
        <v>17594.818917163549</v>
      </c>
      <c r="I65" s="276">
        <f>I64*UF_Assumptions_1!$B$68</f>
        <v>18297.849204130282</v>
      </c>
      <c r="J65" s="276">
        <f>J64*UF_Assumptions_1!$B$68</f>
        <v>19022.021003427177</v>
      </c>
      <c r="K65" s="276">
        <f>K64*UF_Assumptions_1!$B$68</f>
        <v>19767.278320498142</v>
      </c>
      <c r="L65" s="293"/>
    </row>
    <row r="66" spans="1:12">
      <c r="A66" t="s">
        <v>286</v>
      </c>
      <c r="B66" s="279">
        <f>(1-Baseline!J$46/SUM(UF_Calculations_1!B20:B32))*((SUM(UF_Calculations_1!B20:B29)+UF_Calculations_1!B32))</f>
        <v>281946.9657849918</v>
      </c>
      <c r="C66" s="279">
        <f>(1-Baseline!K$46/SUM(UF_Calculations_1!C20:C32))*((SUM(UF_Calculations_1!C20:C29)+UF_Calculations_1!C32))</f>
        <v>293231.20938917919</v>
      </c>
      <c r="D66" s="279">
        <f>(1-Baseline!L$46/SUM(UF_Calculations_1!D20:D32))*((SUM(UF_Calculations_1!D20:D29)+UF_Calculations_1!D32))</f>
        <v>304906.40536985081</v>
      </c>
      <c r="E66" s="279">
        <f>(1-Baseline!M$46/SUM(UF_Calculations_1!E20:E32))*((SUM(UF_Calculations_1!E20:E29)+UF_Calculations_1!E32))</f>
        <v>317434.53665891173</v>
      </c>
      <c r="F66" s="279">
        <f>(1-Baseline!N$46/SUM(UF_Calculations_1!F20:F32))*((SUM(UF_Calculations_1!F20:F29)+UF_Calculations_1!F32))</f>
        <v>330267.45659046329</v>
      </c>
      <c r="G66" s="279">
        <f>(1-Baseline!O$46/SUM(UF_Calculations_1!G20:G32))*((SUM(UF_Calculations_1!G20:G29)+UF_Calculations_1!G32))</f>
        <v>343565.82032573066</v>
      </c>
      <c r="H66" s="279">
        <f>(1-Baseline!P$46/SUM(UF_Calculations_1!H20:H32))*((SUM(UF_Calculations_1!H20:H29)+UF_Calculations_1!H32))</f>
        <v>357326.44528589147</v>
      </c>
      <c r="I66" s="279">
        <f>(1-Baseline!Q$46/SUM(UF_Calculations_1!I20:I32))*((SUM(UF_Calculations_1!I20:I29)+UF_Calculations_1!I32))</f>
        <v>371453.49111079343</v>
      </c>
      <c r="J66" s="279">
        <f>(1-Baseline!R$46/SUM(UF_Calculations_1!J20:J32))*((SUM(UF_Calculations_1!J20:J29)+UF_Calculations_1!J32))</f>
        <v>385997.97174736235</v>
      </c>
      <c r="K66" s="279">
        <f>(1-Baseline!S$46/SUM(UF_Calculations_1!K20:K32))*((SUM(UF_Calculations_1!K20:K29)+UF_Calculations_1!K32))</f>
        <v>400958.23571026808</v>
      </c>
    </row>
    <row r="67" spans="1:12">
      <c r="A67" t="s">
        <v>287</v>
      </c>
      <c r="B67" s="270">
        <f>B66*UF_Assumptions_1!$B$71</f>
        <v>28194.696578499181</v>
      </c>
      <c r="C67" s="270">
        <f>C66*UF_Assumptions_1!$B$71</f>
        <v>29323.12093891792</v>
      </c>
      <c r="D67" s="270">
        <f>D66*UF_Assumptions_1!$B$71</f>
        <v>30490.640536985084</v>
      </c>
      <c r="E67" s="270">
        <f>E66*UF_Assumptions_1!$B$71</f>
        <v>31743.453665891175</v>
      </c>
      <c r="F67" s="270">
        <f>F66*UF_Assumptions_1!$B$71</f>
        <v>33026.745659046333</v>
      </c>
      <c r="G67" s="270">
        <f>G66*UF_Assumptions_1!$B$71</f>
        <v>34356.582032573067</v>
      </c>
      <c r="H67" s="270">
        <f>H66*UF_Assumptions_1!$B$71</f>
        <v>35732.644528589146</v>
      </c>
      <c r="I67" s="270">
        <f>I66*UF_Assumptions_1!$B$71</f>
        <v>37145.349111079347</v>
      </c>
      <c r="J67" s="270">
        <f>J66*UF_Assumptions_1!$B$71</f>
        <v>38599.797174736239</v>
      </c>
      <c r="K67" s="270">
        <f>K66*UF_Assumptions_1!$B$71</f>
        <v>40095.823571026813</v>
      </c>
    </row>
    <row r="68" spans="1:12">
      <c r="A68" t="s">
        <v>98</v>
      </c>
      <c r="B68" s="276">
        <f>B65+B67</f>
        <v>42038.299926566397</v>
      </c>
      <c r="C68" s="276">
        <f t="shared" ref="C68:K68" si="8">C65+C67</f>
        <v>43725.901296750788</v>
      </c>
      <c r="D68" s="276">
        <f t="shared" si="8"/>
        <v>45477.050633929175</v>
      </c>
      <c r="E68" s="276">
        <f t="shared" si="8"/>
        <v>47355.020044257311</v>
      </c>
      <c r="F68" s="276">
        <f t="shared" si="8"/>
        <v>49278.601808559753</v>
      </c>
      <c r="G68" s="276">
        <f t="shared" si="8"/>
        <v>51268.928221864444</v>
      </c>
      <c r="H68" s="276">
        <f t="shared" si="8"/>
        <v>53327.463445752699</v>
      </c>
      <c r="I68" s="276">
        <f t="shared" si="8"/>
        <v>55443.198315209629</v>
      </c>
      <c r="J68" s="276">
        <f t="shared" si="8"/>
        <v>57621.818178163419</v>
      </c>
      <c r="K68" s="276">
        <f t="shared" si="8"/>
        <v>59863.101891524959</v>
      </c>
    </row>
    <row r="69" spans="1:12">
      <c r="B69" s="270"/>
      <c r="C69" s="270"/>
      <c r="D69" s="270"/>
      <c r="E69" s="270"/>
      <c r="F69" s="270"/>
      <c r="G69" s="270"/>
      <c r="H69" s="270"/>
      <c r="I69" s="270"/>
      <c r="J69" s="270"/>
      <c r="K69" s="270"/>
    </row>
    <row r="70" spans="1:12">
      <c r="A70" t="s">
        <v>176</v>
      </c>
    </row>
    <row r="71" spans="1:12">
      <c r="A71" t="s">
        <v>284</v>
      </c>
      <c r="B71" s="279">
        <f>(1-Baseline!J$46/SUM(UF_Calculations_1!B54:B66))*((SUM(UF_Calculations_1!B54:B63)-UF_Calculations_1!B58-UF_Calculations_1!B60))</f>
        <v>220571.95072300741</v>
      </c>
      <c r="C71" s="279">
        <f>(1-Baseline!K$46/SUM(UF_Calculations_1!C54:C66))*((SUM(UF_Calculations_1!C54:C63)-UF_Calculations_1!C58-UF_Calculations_1!C60))</f>
        <v>229316.24687857417</v>
      </c>
      <c r="D71" s="279">
        <f>(1-Baseline!L$46/SUM(UF_Calculations_1!D54:D66))*((SUM(UF_Calculations_1!D54:D63)-UF_Calculations_1!D58-UF_Calculations_1!D60))</f>
        <v>238438.66906975117</v>
      </c>
      <c r="E71" s="279">
        <f>(1-Baseline!M$46/SUM(UF_Calculations_1!E54:E66))*((SUM(UF_Calculations_1!E54:E63)-UF_Calculations_1!E58-UF_Calculations_1!E60))</f>
        <v>248198.63142521089</v>
      </c>
      <c r="F71" s="279">
        <f>(1-Baseline!N$46/SUM(UF_Calculations_1!F54:F66))*((SUM(UF_Calculations_1!F54:F63)-UF_Calculations_1!F58-UF_Calculations_1!F60))</f>
        <v>258175.01513190419</v>
      </c>
      <c r="G71" s="279">
        <f>(1-Baseline!O$46/SUM(UF_Calculations_1!G54:G66))*((SUM(UF_Calculations_1!G54:G63)-UF_Calculations_1!G58-UF_Calculations_1!G60))</f>
        <v>268456.42163700901</v>
      </c>
      <c r="H71" s="279">
        <f>(1-Baseline!P$46/SUM(UF_Calculations_1!H54:H66))*((SUM(UF_Calculations_1!H54:H63)-UF_Calculations_1!H58-UF_Calculations_1!H60))</f>
        <v>279065.77397578687</v>
      </c>
      <c r="I71" s="279">
        <f>(1-Baseline!Q$46/SUM(UF_Calculations_1!I54:I66))*((SUM(UF_Calculations_1!I54:I63)-UF_Calculations_1!I58-UF_Calculations_1!I60))</f>
        <v>289965.19831651112</v>
      </c>
      <c r="J71" s="279">
        <f>(1-Baseline!R$46/SUM(UF_Calculations_1!J54:J66))*((SUM(UF_Calculations_1!J54:J63)-UF_Calculations_1!J58-UF_Calculations_1!J60))</f>
        <v>301168.04157216172</v>
      </c>
      <c r="K71" s="279">
        <f>(1-Baseline!S$46/SUM(UF_Calculations_1!K54:K66))*((SUM(UF_Calculations_1!K54:K63)-UF_Calculations_1!K58-UF_Calculations_1!K60))</f>
        <v>312670.32929813291</v>
      </c>
    </row>
    <row r="72" spans="1:12">
      <c r="A72" t="s">
        <v>285</v>
      </c>
      <c r="B72" s="276">
        <f>B71*UF_Assumptions_1!$B$69</f>
        <v>11550.696036531957</v>
      </c>
      <c r="C72" s="276">
        <f>C71*UF_Assumptions_1!$B$69</f>
        <v>12008.608779359376</v>
      </c>
      <c r="D72" s="276">
        <f>D71*UF_Assumptions_1!$B$69</f>
        <v>12486.322856338831</v>
      </c>
      <c r="E72" s="276">
        <f>E71*UF_Assumptions_1!$B$69</f>
        <v>12997.423012665964</v>
      </c>
      <c r="F72" s="276">
        <f>F71*UF_Assumptions_1!$B$69</f>
        <v>13519.856510497855</v>
      </c>
      <c r="G72" s="276">
        <f>G71*UF_Assumptions_1!$B$69</f>
        <v>14058.263143704009</v>
      </c>
      <c r="H72" s="276">
        <f>H71*UF_Assumptions_1!$B$69</f>
        <v>14613.84332335969</v>
      </c>
      <c r="I72" s="276">
        <f>I71*UF_Assumptions_1!$B$69</f>
        <v>15184.613709713043</v>
      </c>
      <c r="J72" s="276">
        <f>J71*UF_Assumptions_1!$B$69</f>
        <v>15771.273240840064</v>
      </c>
      <c r="K72" s="276">
        <f>K71*UF_Assumptions_1!$B$69</f>
        <v>16373.613786915525</v>
      </c>
    </row>
    <row r="73" spans="1:12">
      <c r="A73" t="s">
        <v>286</v>
      </c>
      <c r="B73" s="279">
        <f>(1-Baseline!J$46/SUM(UF_Calculations_1!B54:B66))*((SUM(UF_Calculations_1!B54:B63)+UF_Calculations_1!B66))</f>
        <v>264173.36153188691</v>
      </c>
      <c r="C73" s="279">
        <f>(1-Baseline!K$46/SUM(UF_Calculations_1!C54:C66))*((SUM(UF_Calculations_1!C54:C63)+UF_Calculations_1!C66))</f>
        <v>274544.20170871785</v>
      </c>
      <c r="D73" s="279">
        <f>(1-Baseline!L$46/SUM(UF_Calculations_1!D54:D66))*((SUM(UF_Calculations_1!D54:D63)+UF_Calculations_1!D66))</f>
        <v>285263.83639600873</v>
      </c>
      <c r="E73" s="279">
        <f>(1-Baseline!M$46/SUM(UF_Calculations_1!E54:E66))*((SUM(UF_Calculations_1!E54:E63)+UF_Calculations_1!E66))</f>
        <v>296754.31069689605</v>
      </c>
      <c r="F73" s="279">
        <f>(1-Baseline!N$46/SUM(UF_Calculations_1!F54:F66))*((SUM(UF_Calculations_1!F54:F63)+UF_Calculations_1!F66))</f>
        <v>308499.96471864637</v>
      </c>
      <c r="G73" s="279">
        <f>(1-Baseline!O$46/SUM(UF_Calculations_1!G54:G66))*((SUM(UF_Calculations_1!G54:G63)+UF_Calculations_1!G66))</f>
        <v>320664.74959283712</v>
      </c>
      <c r="H73" s="279">
        <f>(1-Baseline!P$46/SUM(UF_Calculations_1!H54:H66))*((SUM(UF_Calculations_1!H54:H63)+UF_Calculations_1!H66))</f>
        <v>333236.59560971684</v>
      </c>
      <c r="I73" s="279">
        <f>(1-Baseline!Q$46/SUM(UF_Calculations_1!I54:I66))*((SUM(UF_Calculations_1!I54:I63)+UF_Calculations_1!I66))</f>
        <v>346105.08310590324</v>
      </c>
      <c r="J73" s="279">
        <f>(1-Baseline!R$46/SUM(UF_Calculations_1!J54:J66))*((SUM(UF_Calculations_1!J54:J63)+UF_Calculations_1!J66))</f>
        <v>359324.55999326374</v>
      </c>
      <c r="K73" s="279">
        <f>(1-Baseline!S$46/SUM(UF_Calculations_1!K54:K66))*((SUM(UF_Calculations_1!K54:K63)+UF_Calculations_1!K66))</f>
        <v>372889.83307070239</v>
      </c>
    </row>
    <row r="74" spans="1:12">
      <c r="A74" t="s">
        <v>287</v>
      </c>
      <c r="B74" s="270">
        <f>B73*UF_Assumptions_1!$B$71</f>
        <v>26417.336153188691</v>
      </c>
      <c r="C74" s="270">
        <f>C73*UF_Assumptions_1!$B$71</f>
        <v>27454.420170871788</v>
      </c>
      <c r="D74" s="270">
        <f>D73*UF_Assumptions_1!$B$71</f>
        <v>28526.383639600874</v>
      </c>
      <c r="E74" s="270">
        <f>E73*UF_Assumptions_1!$B$71</f>
        <v>29675.431069689606</v>
      </c>
      <c r="F74" s="270">
        <f>F73*UF_Assumptions_1!$B$71</f>
        <v>30849.996471864637</v>
      </c>
      <c r="G74" s="270">
        <f>G73*UF_Assumptions_1!$B$71</f>
        <v>32066.474959283714</v>
      </c>
      <c r="H74" s="270">
        <f>H73*UF_Assumptions_1!$B$71</f>
        <v>33323.659560971682</v>
      </c>
      <c r="I74" s="270">
        <f>I73*UF_Assumptions_1!$B$71</f>
        <v>34610.508310590325</v>
      </c>
      <c r="J74" s="270">
        <f>J73*UF_Assumptions_1!$B$71</f>
        <v>35932.455999326376</v>
      </c>
      <c r="K74" s="270">
        <f>K73*UF_Assumptions_1!$B$71</f>
        <v>37288.983307070237</v>
      </c>
    </row>
    <row r="75" spans="1:12">
      <c r="A75" t="s">
        <v>98</v>
      </c>
      <c r="B75" s="276">
        <f>B72+B74</f>
        <v>37968.032189720645</v>
      </c>
      <c r="C75" s="276">
        <f t="shared" ref="C75:K75" si="9">C72+C74</f>
        <v>39463.028950231164</v>
      </c>
      <c r="D75" s="276">
        <f t="shared" si="9"/>
        <v>41012.706495939703</v>
      </c>
      <c r="E75" s="276">
        <f t="shared" si="9"/>
        <v>42672.854082355567</v>
      </c>
      <c r="F75" s="276">
        <f t="shared" si="9"/>
        <v>44369.852982362492</v>
      </c>
      <c r="G75" s="276">
        <f t="shared" si="9"/>
        <v>46124.738102987722</v>
      </c>
      <c r="H75" s="276">
        <f t="shared" si="9"/>
        <v>47937.50288433137</v>
      </c>
      <c r="I75" s="276">
        <f t="shared" si="9"/>
        <v>49795.122020303366</v>
      </c>
      <c r="J75" s="276">
        <f t="shared" si="9"/>
        <v>51703.729240166438</v>
      </c>
      <c r="K75" s="276">
        <f t="shared" si="9"/>
        <v>53662.597093985765</v>
      </c>
    </row>
    <row r="77" spans="1:12">
      <c r="A77" t="s">
        <v>220</v>
      </c>
    </row>
    <row r="78" spans="1:12">
      <c r="A78" t="s">
        <v>284</v>
      </c>
      <c r="B78" s="279">
        <f>(1-Baseline!J$46/SUM(UF_Calculations_1!B88:B100))*((SUM(UF_Calculations_1!B88:B97)-UF_Calculations_1!B92-UF_Calculations_1!B94))</f>
        <v>236599.76631242145</v>
      </c>
      <c r="C78" s="279">
        <f>(1-Baseline!K$46/SUM(UF_Calculations_1!C88:C100))*((SUM(UF_Calculations_1!C88:C97)-UF_Calculations_1!C92-UF_Calculations_1!C94))</f>
        <v>243221.14527399777</v>
      </c>
      <c r="D78" s="279">
        <f>(1-Baseline!L$46/SUM(UF_Calculations_1!D88:D100))*((SUM(UF_Calculations_1!D88:D97)-UF_Calculations_1!D92-UF_Calculations_1!D94))</f>
        <v>250986.21355428823</v>
      </c>
      <c r="E78" s="279">
        <f>(1-Baseline!M$46/SUM(UF_Calculations_1!E88:E100))*((SUM(UF_Calculations_1!E88:E97)-UF_Calculations_1!E92-UF_Calculations_1!E94))</f>
        <v>258104.0643560405</v>
      </c>
      <c r="F78" s="279">
        <f>(1-Baseline!N$46/SUM(UF_Calculations_1!F88:F100))*((SUM(UF_Calculations_1!F88:F97)-UF_Calculations_1!F92-UF_Calculations_1!F94))</f>
        <v>264509.52811801422</v>
      </c>
      <c r="G78" s="279">
        <f>(1-Baseline!O$46/SUM(UF_Calculations_1!G88:G100))*((SUM(UF_Calculations_1!G88:G97)-UF_Calculations_1!G92-UF_Calculations_1!G94))</f>
        <v>271360.14171996526</v>
      </c>
      <c r="H78" s="279">
        <f>(1-Baseline!P$46/SUM(UF_Calculations_1!H88:H100))*((SUM(UF_Calculations_1!H88:H97)-UF_Calculations_1!H92-UF_Calculations_1!H94))</f>
        <v>278269.56065892737</v>
      </c>
      <c r="I78" s="279">
        <f>(1-Baseline!Q$46/SUM(UF_Calculations_1!I88:I100))*((SUM(UF_Calculations_1!I88:I97)-UF_Calculations_1!I92-UF_Calculations_1!I94))</f>
        <v>285342.92723656376</v>
      </c>
      <c r="J78" s="279">
        <f>(1-Baseline!R$46/SUM(UF_Calculations_1!J88:J100))*((SUM(UF_Calculations_1!J88:J97)-UF_Calculations_1!J92-UF_Calculations_1!J94))</f>
        <v>292339.87493080442</v>
      </c>
      <c r="K78" s="279">
        <f>(1-Baseline!S$46/SUM(UF_Calculations_1!K88:K100))*((SUM(UF_Calculations_1!K88:K97)-UF_Calculations_1!K92-UF_Calculations_1!K94))</f>
        <v>299228.12547908264</v>
      </c>
    </row>
    <row r="79" spans="1:12">
      <c r="A79" t="s">
        <v>285</v>
      </c>
      <c r="B79" s="276">
        <f>B78*UF_Assumptions_1!$B$68</f>
        <v>13843.603348067212</v>
      </c>
      <c r="C79" s="276">
        <f>C78*UF_Assumptions_1!$B$68</f>
        <v>14231.024457521145</v>
      </c>
      <c r="D79" s="276">
        <f>D78*UF_Assumptions_1!$B$68</f>
        <v>14685.363559027503</v>
      </c>
      <c r="E79" s="276">
        <f>E78*UF_Assumptions_1!$B$68</f>
        <v>15101.833552747052</v>
      </c>
      <c r="F79" s="276">
        <f>F78*UF_Assumptions_1!$B$68</f>
        <v>15476.621326054024</v>
      </c>
      <c r="G79" s="276">
        <f>G78*UF_Assumptions_1!$B$68</f>
        <v>15877.455100636265</v>
      </c>
      <c r="H79" s="276">
        <f>H78*UF_Assumptions_1!$B$68</f>
        <v>16281.729613022346</v>
      </c>
      <c r="I79" s="276">
        <f>I78*UF_Assumptions_1!$B$68</f>
        <v>16695.596806394689</v>
      </c>
      <c r="J79" s="276">
        <f>J78*UF_Assumptions_1!$B$68</f>
        <v>17104.992682121534</v>
      </c>
      <c r="K79" s="276">
        <f>K78*UF_Assumptions_1!$B$68</f>
        <v>17508.028618456963</v>
      </c>
    </row>
    <row r="80" spans="1:12">
      <c r="A80" t="s">
        <v>286</v>
      </c>
      <c r="B80" s="279">
        <f>(1-Baseline!J$46/SUM(UF_Calculations_1!B88:B100))*((SUM(UF_Calculations_1!B88:B97)+UF_Calculations_1!B100))</f>
        <v>281946.9657849918</v>
      </c>
      <c r="C80" s="279">
        <f>(1-Baseline!K$46/SUM(UF_Calculations_1!C88:C100))*((SUM(UF_Calculations_1!C88:C97)+UF_Calculations_1!C100))</f>
        <v>289837.41190260911</v>
      </c>
      <c r="D80" s="279">
        <f>(1-Baseline!L$46/SUM(UF_Calculations_1!D88:D100))*((SUM(UF_Calculations_1!D88:D97)+UF_Calculations_1!D100))</f>
        <v>299090.74919394968</v>
      </c>
      <c r="E80" s="279">
        <f>(1-Baseline!M$46/SUM(UF_Calculations_1!E88:E100))*((SUM(UF_Calculations_1!E88:E97)+UF_Calculations_1!E100))</f>
        <v>307572.82196917944</v>
      </c>
      <c r="F80" s="279">
        <f>(1-Baseline!N$46/SUM(UF_Calculations_1!F88:F100))*((SUM(UF_Calculations_1!F88:F97)+UF_Calculations_1!F100))</f>
        <v>315205.97013446316</v>
      </c>
      <c r="G80" s="279">
        <f>(1-Baseline!O$46/SUM(UF_Calculations_1!G88:G100))*((SUM(UF_Calculations_1!G88:G97)+UF_Calculations_1!G100))</f>
        <v>323369.58647669147</v>
      </c>
      <c r="H80" s="279">
        <f>(1-Baseline!P$46/SUM(UF_Calculations_1!H88:H100))*((SUM(UF_Calculations_1!H88:H97)+UF_Calculations_1!H100))</f>
        <v>331603.27890817664</v>
      </c>
      <c r="I80" s="279">
        <f>(1-Baseline!Q$46/SUM(UF_Calculations_1!I88:I100))*((SUM(UF_Calculations_1!I88:I97)+UF_Calculations_1!I100))</f>
        <v>340032.34152109618</v>
      </c>
      <c r="J80" s="279">
        <f>(1-Baseline!R$46/SUM(UF_Calculations_1!J88:J100))*((SUM(UF_Calculations_1!J88:J97)+UF_Calculations_1!J100))</f>
        <v>348370.33864972595</v>
      </c>
      <c r="K80" s="279">
        <f>(1-Baseline!S$46/SUM(UF_Calculations_1!K88:K100))*((SUM(UF_Calculations_1!K88:K97)+UF_Calculations_1!K100))</f>
        <v>356578.8055130844</v>
      </c>
    </row>
    <row r="81" spans="1:11">
      <c r="A81" t="s">
        <v>287</v>
      </c>
      <c r="B81" s="270">
        <f>B80*UF_Assumptions_1!$B$71</f>
        <v>28194.696578499181</v>
      </c>
      <c r="C81" s="270">
        <f>C80*UF_Assumptions_1!$B$71</f>
        <v>28983.741190260913</v>
      </c>
      <c r="D81" s="270">
        <f>D80*UF_Assumptions_1!$B$71</f>
        <v>29909.07491939497</v>
      </c>
      <c r="E81" s="270">
        <f>E80*UF_Assumptions_1!$B$71</f>
        <v>30757.282196917946</v>
      </c>
      <c r="F81" s="270">
        <f>F80*UF_Assumptions_1!$B$71</f>
        <v>31520.597013446317</v>
      </c>
      <c r="G81" s="270">
        <f>G80*UF_Assumptions_1!$B$71</f>
        <v>32336.958647669147</v>
      </c>
      <c r="H81" s="270">
        <f>H80*UF_Assumptions_1!$B$71</f>
        <v>33160.327890817665</v>
      </c>
      <c r="I81" s="270">
        <f>I80*UF_Assumptions_1!$B$71</f>
        <v>34003.234152109617</v>
      </c>
      <c r="J81" s="270">
        <f>J80*UF_Assumptions_1!$B$71</f>
        <v>34837.033864972596</v>
      </c>
      <c r="K81" s="270">
        <f>K80*UF_Assumptions_1!$B$71</f>
        <v>35657.880551308444</v>
      </c>
    </row>
    <row r="82" spans="1:11">
      <c r="A82" t="s">
        <v>98</v>
      </c>
      <c r="B82" s="276">
        <f>B79+B81</f>
        <v>42038.299926566397</v>
      </c>
      <c r="C82" s="276">
        <f t="shared" ref="C82:K82" si="10">C79+C81</f>
        <v>43214.765647782056</v>
      </c>
      <c r="D82" s="276">
        <f t="shared" si="10"/>
        <v>44594.438478422475</v>
      </c>
      <c r="E82" s="276">
        <f t="shared" si="10"/>
        <v>45859.115749664998</v>
      </c>
      <c r="F82" s="276">
        <f t="shared" si="10"/>
        <v>46997.218339500338</v>
      </c>
      <c r="G82" s="276">
        <f t="shared" si="10"/>
        <v>48214.413748305415</v>
      </c>
      <c r="H82" s="276">
        <f t="shared" si="10"/>
        <v>49442.057503840013</v>
      </c>
      <c r="I82" s="276">
        <f t="shared" si="10"/>
        <v>50698.830958504303</v>
      </c>
      <c r="J82" s="276">
        <f t="shared" si="10"/>
        <v>51942.02654709413</v>
      </c>
      <c r="K82" s="276">
        <f t="shared" si="10"/>
        <v>53165.909169765408</v>
      </c>
    </row>
    <row r="84" spans="1:11">
      <c r="A84" t="s">
        <v>323</v>
      </c>
    </row>
    <row r="85" spans="1:11">
      <c r="A85" t="s">
        <v>284</v>
      </c>
      <c r="B85" s="279">
        <f>(1-Baseline!J$46/SUM(UF_Calculations_1!B122:B134))*((SUM(UF_Calculations_1!B122:B131)-UF_Calculations_1!B126-UF_Calculations_1!B128))</f>
        <v>244168.93318255365</v>
      </c>
      <c r="C85" s="279">
        <f>(1-Baseline!K$46/SUM(UF_Calculations_1!C122:C134))*((SUM(UF_Calculations_1!C122:C131)-UF_Calculations_1!C126-UF_Calculations_1!C128))</f>
        <v>254266.85248729211</v>
      </c>
      <c r="D85" s="279">
        <f>(1-Baseline!L$46/SUM(UF_Calculations_1!D122:D134))*((SUM(UF_Calculations_1!D122:D131)-UF_Calculations_1!D126-UF_Calculations_1!D128))</f>
        <v>264781.57173418347</v>
      </c>
      <c r="E85" s="279">
        <f>(1-Baseline!M$46/SUM(UF_Calculations_1!E122:E134))*((SUM(UF_Calculations_1!E122:E131)-UF_Calculations_1!E126-UF_Calculations_1!E128))</f>
        <v>276078.10519918002</v>
      </c>
      <c r="F85" s="279">
        <f>(1-Baseline!N$46/SUM(UF_Calculations_1!F122:F134))*((SUM(UF_Calculations_1!F122:F131)-UF_Calculations_1!F126-UF_Calculations_1!F128))</f>
        <v>287687.63614031038</v>
      </c>
      <c r="G85" s="279">
        <f>(1-Baseline!O$46/SUM(UF_Calculations_1!G122:G134))*((SUM(UF_Calculations_1!G122:G131)-UF_Calculations_1!G126-UF_Calculations_1!G128))</f>
        <v>299670.42192118114</v>
      </c>
      <c r="H85" s="279">
        <f>(1-Baseline!P$46/SUM(UF_Calculations_1!H122:H134))*((SUM(UF_Calculations_1!H122:H131)-UF_Calculations_1!H126-UF_Calculations_1!H128))</f>
        <v>312064.3064494498</v>
      </c>
      <c r="I85" s="279">
        <f>(1-Baseline!Q$46/SUM(UF_Calculations_1!I122:I134))*((SUM(UF_Calculations_1!I122:I131)-UF_Calculations_1!I126-UF_Calculations_1!I128))</f>
        <v>324877.63199362205</v>
      </c>
      <c r="J85" s="279">
        <f>(1-Baseline!R$46/SUM(UF_Calculations_1!J122:J134))*((SUM(UF_Calculations_1!J122:J131)-UF_Calculations_1!J126-UF_Calculations_1!J128))</f>
        <v>338108.75462252059</v>
      </c>
      <c r="K85" s="279">
        <f>(1-Baseline!S$46/SUM(UF_Calculations_1!K122:K134))*((SUM(UF_Calculations_1!K122:K131)-UF_Calculations_1!K126-UF_Calculations_1!K128))</f>
        <v>351760.73707459221</v>
      </c>
    </row>
    <row r="86" spans="1:11">
      <c r="A86" t="s">
        <v>285</v>
      </c>
      <c r="B86" s="276">
        <f>B85*UF_Assumptions_1!$B$68</f>
        <v>14286.480133021756</v>
      </c>
      <c r="C86" s="276">
        <f>C85*UF_Assumptions_1!$B$68</f>
        <v>14877.315837022412</v>
      </c>
      <c r="D86" s="276">
        <f>D85*UF_Assumptions_1!$B$68</f>
        <v>15492.538771680947</v>
      </c>
      <c r="E86" s="276">
        <f>E85*UF_Assumptions_1!$B$68</f>
        <v>16153.506155271172</v>
      </c>
      <c r="F86" s="276">
        <f>F85*UF_Assumptions_1!$B$68</f>
        <v>16832.787220975606</v>
      </c>
      <c r="G86" s="276">
        <f>G85*UF_Assumptions_1!$B$68</f>
        <v>17533.907665601026</v>
      </c>
      <c r="H86" s="276">
        <f>H85*UF_Assumptions_1!$B$68</f>
        <v>18259.081760340148</v>
      </c>
      <c r="I86" s="276">
        <f>I85*UF_Assumptions_1!$B$68</f>
        <v>19008.797616648098</v>
      </c>
      <c r="J86" s="276">
        <f>J85*UF_Assumptions_1!$B$68</f>
        <v>19782.959047062373</v>
      </c>
      <c r="K86" s="276">
        <f>K85*UF_Assumptions_1!$B$68</f>
        <v>20581.745254364439</v>
      </c>
    </row>
    <row r="87" spans="1:11">
      <c r="A87" t="s">
        <v>286</v>
      </c>
      <c r="B87" s="279">
        <f>((1-Baseline!J$46/SUM(UF_Calculations_1!B122:B134))*((SUM(UF_Calculations_1!B122:B131)+UF_Calculations_1!B134)))+((UF_Calculations_1!B126-UF_Calculations_1!B24)*(Baseline!J$46/SUM(UF_Calculations_1!B122:B134)))</f>
        <v>317308.46242549887</v>
      </c>
      <c r="C87" s="279">
        <f>((1-Baseline!K$46/SUM(UF_Calculations_1!C122:C134))*((SUM(UF_Calculations_1!C122:C131)+UF_Calculations_1!C134)))+((UF_Calculations_1!C126-UF_Calculations_1!C24)*(Baseline!K$46/SUM(UF_Calculations_1!C122:C134)))</f>
        <v>330592.94468982884</v>
      </c>
      <c r="D87" s="279">
        <f>((1-Baseline!L$46/SUM(UF_Calculations_1!D122:D134))*((SUM(UF_Calculations_1!D122:D131)+UF_Calculations_1!D134)))+((UF_Calculations_1!D126-UF_Calculations_1!D24)*(Baseline!L$46/SUM(UF_Calculations_1!D122:D134)))</f>
        <v>344223.13252138405</v>
      </c>
      <c r="E87" s="279">
        <f>((1-Baseline!M$46/SUM(UF_Calculations_1!E122:E134))*((SUM(UF_Calculations_1!E122:E131)+UF_Calculations_1!E134)))+((UF_Calculations_1!E126-UF_Calculations_1!E24)*(Baseline!M$46/SUM(UF_Calculations_1!E122:E134)))</f>
        <v>358970.46431553341</v>
      </c>
      <c r="F87" s="279">
        <f>((1-Baseline!N$46/SUM(UF_Calculations_1!F122:F134))*((SUM(UF_Calculations_1!F122:F131)+UF_Calculations_1!F134)))+((UF_Calculations_1!F126-UF_Calculations_1!F24)*(Baseline!N$46/SUM(UF_Calculations_1!F122:F134)))</f>
        <v>374162.91922905232</v>
      </c>
      <c r="G87" s="279">
        <f>((1-Baseline!O$46/SUM(UF_Calculations_1!G122:G134))*((SUM(UF_Calculations_1!G122:G131)+UF_Calculations_1!G134)))+((UF_Calculations_1!G126-UF_Calculations_1!G24)*(Baseline!O$46/SUM(UF_Calculations_1!G122:G134)))</f>
        <v>389938.01981973875</v>
      </c>
      <c r="H87" s="279">
        <f>((1-Baseline!P$46/SUM(UF_Calculations_1!H122:H134))*((SUM(UF_Calculations_1!H122:H131)+UF_Calculations_1!H134)))+((UF_Calculations_1!H126-UF_Calculations_1!H24)*(Baseline!P$46/SUM(UF_Calculations_1!H122:H134)))</f>
        <v>406269.4625766481</v>
      </c>
      <c r="I87" s="279">
        <f>((1-Baseline!Q$46/SUM(UF_Calculations_1!I122:I134))*((SUM(UF_Calculations_1!I122:I131)+UF_Calculations_1!I134)))+((UF_Calculations_1!I126-UF_Calculations_1!I24)*(Baseline!Q$46/SUM(UF_Calculations_1!I122:I134)))</f>
        <v>423155.07031845412</v>
      </c>
      <c r="J87" s="279">
        <f>((1-Baseline!R$46/SUM(UF_Calculations_1!J122:J134))*((SUM(UF_Calculations_1!J122:J131)+UF_Calculations_1!J134)))+((UF_Calculations_1!J126-UF_Calculations_1!J24)*(Baseline!R$46/SUM(UF_Calculations_1!J122:J134)))</f>
        <v>440617.13091969193</v>
      </c>
      <c r="K87" s="279">
        <f>((1-Baseline!S$46/SUM(UF_Calculations_1!K122:K134))*((SUM(UF_Calculations_1!K122:K131)+UF_Calculations_1!K134)))+((UF_Calculations_1!K126-UF_Calculations_1!K24)*(Baseline!S$46/SUM(UF_Calculations_1!K122:K134)))</f>
        <v>458663.39500105404</v>
      </c>
    </row>
    <row r="88" spans="1:11">
      <c r="A88" t="s">
        <v>287</v>
      </c>
      <c r="B88" s="270">
        <f>B87*UF_Assumptions_1!$B$71</f>
        <v>31730.846242549887</v>
      </c>
      <c r="C88" s="270">
        <f>C87*UF_Assumptions_1!$B$71</f>
        <v>33059.294468982887</v>
      </c>
      <c r="D88" s="270">
        <f>D87*UF_Assumptions_1!$B$71</f>
        <v>34422.313252138403</v>
      </c>
      <c r="E88" s="270">
        <f>E87*UF_Assumptions_1!$B$71</f>
        <v>35897.046431553339</v>
      </c>
      <c r="F88" s="270">
        <f>F87*UF_Assumptions_1!$B$71</f>
        <v>37416.291922905235</v>
      </c>
      <c r="G88" s="270">
        <f>G87*UF_Assumptions_1!$B$71</f>
        <v>38993.801981973877</v>
      </c>
      <c r="H88" s="270">
        <f>H87*UF_Assumptions_1!$B$71</f>
        <v>40626.946257664815</v>
      </c>
      <c r="I88" s="270">
        <f>I87*UF_Assumptions_1!$B$71</f>
        <v>42315.507031845416</v>
      </c>
      <c r="J88" s="270">
        <f>J87*UF_Assumptions_1!$B$71</f>
        <v>44061.713091969199</v>
      </c>
      <c r="K88" s="270">
        <f>K87*UF_Assumptions_1!$B$71</f>
        <v>45866.339500105409</v>
      </c>
    </row>
    <row r="89" spans="1:11">
      <c r="A89" t="s">
        <v>98</v>
      </c>
      <c r="B89" s="276">
        <f>B86+B88</f>
        <v>46017.326375571647</v>
      </c>
      <c r="C89" s="276">
        <f t="shared" ref="C89:K89" si="11">C86+C88</f>
        <v>47936.610306005299</v>
      </c>
      <c r="D89" s="276">
        <f t="shared" si="11"/>
        <v>49914.852023819352</v>
      </c>
      <c r="E89" s="276">
        <f t="shared" si="11"/>
        <v>52050.552586824509</v>
      </c>
      <c r="F89" s="276">
        <f t="shared" si="11"/>
        <v>54249.079143880837</v>
      </c>
      <c r="G89" s="276">
        <f t="shared" si="11"/>
        <v>56527.709647574899</v>
      </c>
      <c r="H89" s="276">
        <f t="shared" si="11"/>
        <v>58886.028018004959</v>
      </c>
      <c r="I89" s="276">
        <f t="shared" si="11"/>
        <v>61324.304648493518</v>
      </c>
      <c r="J89" s="276">
        <f t="shared" si="11"/>
        <v>63844.672139031572</v>
      </c>
      <c r="K89" s="276">
        <f t="shared" si="11"/>
        <v>66448.084754469848</v>
      </c>
    </row>
    <row r="91" spans="1:11">
      <c r="A91" t="s">
        <v>346</v>
      </c>
    </row>
    <row r="92" spans="1:11">
      <c r="A92" t="s">
        <v>284</v>
      </c>
      <c r="B92" s="279">
        <f>(1-Baseline!J$46/SUM(UF_Calculations_1!B156:B168))*((SUM(UF_Calculations_1!B156:B165)-UF_Calculations_1!B160-UF_Calculations_1!B162))</f>
        <v>244168.93318255365</v>
      </c>
      <c r="C92" s="279">
        <f>(1-Baseline!K$46/SUM(UF_Calculations_1!C156:C168))*((SUM(UF_Calculations_1!C156:C165)-UF_Calculations_1!C160-UF_Calculations_1!C162))</f>
        <v>251318.5458095037</v>
      </c>
      <c r="D92" s="279">
        <f>(1-Baseline!L$46/SUM(UF_Calculations_1!D156:D168))*((SUM(UF_Calculations_1!D156:D165)-UF_Calculations_1!D160-UF_Calculations_1!D162))</f>
        <v>259633.56865226527</v>
      </c>
      <c r="E92" s="279">
        <f>(1-Baseline!M$46/SUM(UF_Calculations_1!E156:E168))*((SUM(UF_Calculations_1!E156:E165)-UF_Calculations_1!E160-UF_Calculations_1!E162))</f>
        <v>267355.3854840924</v>
      </c>
      <c r="F92" s="279">
        <f>(1-Baseline!N$46/SUM(UF_Calculations_1!F156:F168))*((SUM(UF_Calculations_1!F156:F165)-UF_Calculations_1!F160-UF_Calculations_1!F162))</f>
        <v>274421.72110826976</v>
      </c>
      <c r="G92" s="279">
        <f>(1-Baseline!O$46/SUM(UF_Calculations_1!G156:G168))*((SUM(UF_Calculations_1!G156:G165)-UF_Calculations_1!G160-UF_Calculations_1!G162))</f>
        <v>281954.82296016987</v>
      </c>
      <c r="H92" s="279">
        <f>(1-Baseline!P$46/SUM(UF_Calculations_1!H156:H168))*((SUM(UF_Calculations_1!H156:H165)-UF_Calculations_1!H160-UF_Calculations_1!H162))</f>
        <v>289589.82145590906</v>
      </c>
      <c r="I92" s="279">
        <f>(1-Baseline!Q$46/SUM(UF_Calculations_1!I156:I168))*((SUM(UF_Calculations_1!I156:I165)-UF_Calculations_1!I160-UF_Calculations_1!I162))</f>
        <v>297453.25252435583</v>
      </c>
      <c r="J92" s="279">
        <f>(1-Baseline!R$46/SUM(UF_Calculations_1!J156:J168))*((SUM(UF_Calculations_1!J156:J165)-UF_Calculations_1!J160-UF_Calculations_1!J162))</f>
        <v>305296.17865602783</v>
      </c>
      <c r="K92" s="279">
        <f>(1-Baseline!S$46/SUM(UF_Calculations_1!K156:K168))*((SUM(UF_Calculations_1!K156:K165)-UF_Calculations_1!K160-UF_Calculations_1!K162))</f>
        <v>313090.32739233668</v>
      </c>
    </row>
    <row r="93" spans="1:11">
      <c r="A93" t="s">
        <v>285</v>
      </c>
      <c r="B93" s="276">
        <f>B92*UF_Assumptions_1!$B$68</f>
        <v>14286.480133021756</v>
      </c>
      <c r="C93" s="276">
        <f>C92*UF_Assumptions_1!$B$68</f>
        <v>14704.808531407132</v>
      </c>
      <c r="D93" s="276">
        <f>D92*UF_Assumptions_1!$B$68</f>
        <v>15191.3258253985</v>
      </c>
      <c r="E93" s="276">
        <f>E92*UF_Assumptions_1!$B$68</f>
        <v>15643.134257047959</v>
      </c>
      <c r="F93" s="276">
        <f>F92*UF_Assumptions_1!$B$68</f>
        <v>16056.590064845572</v>
      </c>
      <c r="G93" s="276">
        <f>G92*UF_Assumptions_1!$B$68</f>
        <v>16497.356662563132</v>
      </c>
      <c r="H93" s="276">
        <f>H92*UF_Assumptions_1!$B$68</f>
        <v>16944.085297952126</v>
      </c>
      <c r="I93" s="276">
        <f>I92*UF_Assumptions_1!$B$68</f>
        <v>17404.179668978268</v>
      </c>
      <c r="J93" s="276">
        <f>J92*UF_Assumptions_1!$B$68</f>
        <v>17863.07428306546</v>
      </c>
      <c r="K93" s="276">
        <f>K92*UF_Assumptions_1!$B$68</f>
        <v>18319.114900615445</v>
      </c>
    </row>
    <row r="94" spans="1:11">
      <c r="A94" t="s">
        <v>286</v>
      </c>
      <c r="B94" s="279">
        <f>((1-Baseline!J$46/SUM(UF_Calculations_1!B156:B168))*((SUM(UF_Calculations_1!B156:B165)+UF_Calculations_1!B168)))+((UF_Calculations_1!B160-UF_Calculations_1!B24)*(Baseline!J$46/SUM(UF_Calculations_1!B156:B168)))</f>
        <v>317308.46242549887</v>
      </c>
      <c r="C94" s="279">
        <f>((1-Baseline!K$46/SUM(UF_Calculations_1!C156:C168))*((SUM(UF_Calculations_1!C156:C165)+UF_Calculations_1!C168)))+((UF_Calculations_1!C160-UF_Calculations_1!C24)*(Baseline!K$46/SUM(UF_Calculations_1!C156:C168)))</f>
        <v>326888.16869135608</v>
      </c>
      <c r="D94" s="279">
        <f>((1-Baseline!L$46/SUM(UF_Calculations_1!D156:D168))*((SUM(UF_Calculations_1!D156:D165)+UF_Calculations_1!D168)))+((UF_Calculations_1!D160-UF_Calculations_1!D24)*(Baseline!L$46/SUM(UF_Calculations_1!D156:D168)))</f>
        <v>338019.29468553752</v>
      </c>
      <c r="E94" s="279">
        <f>((1-Baseline!M$46/SUM(UF_Calculations_1!E156:E168))*((SUM(UF_Calculations_1!E156:E165)+UF_Calculations_1!E168)))+((UF_Calculations_1!E160-UF_Calculations_1!E24)*(Baseline!M$46/SUM(UF_Calculations_1!E156:E168)))</f>
        <v>348404.93805000081</v>
      </c>
      <c r="F94" s="279">
        <f>((1-Baseline!N$46/SUM(UF_Calculations_1!F156:F168))*((SUM(UF_Calculations_1!F156:F165)+UF_Calculations_1!F168)))+((UF_Calculations_1!F160-UF_Calculations_1!F24)*(Baseline!N$46/SUM(UF_Calculations_1!F156:F168)))</f>
        <v>358007.18308960547</v>
      </c>
      <c r="G94" s="279">
        <f>((1-Baseline!O$46/SUM(UF_Calculations_1!G156:G168))*((SUM(UF_Calculations_1!G156:G165)+UF_Calculations_1!G168)))+((UF_Calculations_1!G160-UF_Calculations_1!G24)*(Baseline!O$46/SUM(UF_Calculations_1!G156:G168)))</f>
        <v>368207.85856836697</v>
      </c>
      <c r="H94" s="279">
        <f>((1-Baseline!P$46/SUM(UF_Calculations_1!H156:H168))*((SUM(UF_Calculations_1!H156:H165)+UF_Calculations_1!H168)))+((UF_Calculations_1!H160-UF_Calculations_1!H24)*(Baseline!P$46/SUM(UF_Calculations_1!H156:H168)))</f>
        <v>378586.25125620473</v>
      </c>
      <c r="I94" s="279">
        <f>((1-Baseline!Q$46/SUM(UF_Calculations_1!I156:I168))*((SUM(UF_Calculations_1!I156:I165)+UF_Calculations_1!I168)))+((UF_Calculations_1!I160-UF_Calculations_1!I24)*(Baseline!Q$46/SUM(UF_Calculations_1!I156:I168)))</f>
        <v>389318.86527944478</v>
      </c>
      <c r="J94" s="279">
        <f>((1-Baseline!R$46/SUM(UF_Calculations_1!J156:J168))*((SUM(UF_Calculations_1!J156:J165)+UF_Calculations_1!J168)))+((UF_Calculations_1!J160-UF_Calculations_1!J24)*(Baseline!R$46/SUM(UF_Calculations_1!J156:J168)))</f>
        <v>400074.70150911628</v>
      </c>
      <c r="K94" s="279">
        <f>((1-Baseline!S$46/SUM(UF_Calculations_1!K156:K168))*((SUM(UF_Calculations_1!K156:K165)+UF_Calculations_1!K168)))+((UF_Calculations_1!K160-UF_Calculations_1!K24)*(Baseline!S$46/SUM(UF_Calculations_1!K156:K168)))</f>
        <v>410820.96971243952</v>
      </c>
    </row>
    <row r="95" spans="1:11">
      <c r="A95" t="s">
        <v>287</v>
      </c>
      <c r="B95" s="270">
        <f>B94*UF_Assumptions_1!$B$71</f>
        <v>31730.846242549887</v>
      </c>
      <c r="C95" s="270">
        <f>C94*UF_Assumptions_1!$B$71</f>
        <v>32688.816869135611</v>
      </c>
      <c r="D95" s="270">
        <f>D94*UF_Assumptions_1!$B$71</f>
        <v>33801.929468553753</v>
      </c>
      <c r="E95" s="270">
        <f>E94*UF_Assumptions_1!$B$71</f>
        <v>34840.493805000086</v>
      </c>
      <c r="F95" s="270">
        <f>F94*UF_Assumptions_1!$B$71</f>
        <v>35800.718308960546</v>
      </c>
      <c r="G95" s="270">
        <f>G94*UF_Assumptions_1!$B$71</f>
        <v>36820.785856836701</v>
      </c>
      <c r="H95" s="270">
        <f>H94*UF_Assumptions_1!$B$71</f>
        <v>37858.625125620478</v>
      </c>
      <c r="I95" s="270">
        <f>I94*UF_Assumptions_1!$B$71</f>
        <v>38931.88652794448</v>
      </c>
      <c r="J95" s="270">
        <f>J94*UF_Assumptions_1!$B$71</f>
        <v>40007.470150911628</v>
      </c>
      <c r="K95" s="270">
        <f>K94*UF_Assumptions_1!$B$71</f>
        <v>41082.096971243955</v>
      </c>
    </row>
    <row r="96" spans="1:11">
      <c r="A96" t="s">
        <v>98</v>
      </c>
      <c r="B96" s="276">
        <f>B93+B95</f>
        <v>46017.326375571647</v>
      </c>
      <c r="C96" s="276">
        <f t="shared" ref="C96:K96" si="12">C93+C95</f>
        <v>47393.625400542747</v>
      </c>
      <c r="D96" s="276">
        <f t="shared" si="12"/>
        <v>48993.255293952257</v>
      </c>
      <c r="E96" s="276">
        <f t="shared" si="12"/>
        <v>50483.628062048047</v>
      </c>
      <c r="F96" s="276">
        <f t="shared" si="12"/>
        <v>51857.308373806118</v>
      </c>
      <c r="G96" s="276">
        <f t="shared" si="12"/>
        <v>53318.142519399829</v>
      </c>
      <c r="H96" s="276">
        <f t="shared" si="12"/>
        <v>54802.7104235726</v>
      </c>
      <c r="I96" s="276">
        <f t="shared" si="12"/>
        <v>56336.066196922751</v>
      </c>
      <c r="J96" s="276">
        <f t="shared" si="12"/>
        <v>57870.544433977091</v>
      </c>
      <c r="K96" s="276">
        <f t="shared" si="12"/>
        <v>59401.211871859399</v>
      </c>
    </row>
    <row r="98" spans="1:15">
      <c r="A98" s="302" t="s">
        <v>563</v>
      </c>
      <c r="B98" s="302"/>
      <c r="C98" s="302"/>
      <c r="D98" s="302"/>
      <c r="E98" s="302"/>
      <c r="F98" s="302"/>
      <c r="G98" s="302"/>
      <c r="H98" s="302"/>
      <c r="I98" s="302"/>
      <c r="J98" s="302"/>
      <c r="K98" s="302"/>
      <c r="L98" s="233"/>
      <c r="M98" s="233"/>
      <c r="N98" s="272"/>
      <c r="O98" s="273"/>
    </row>
    <row r="99" spans="1:15">
      <c r="A99" s="302" t="s">
        <v>284</v>
      </c>
      <c r="B99" s="403">
        <f>(1-Baseline!J$46/SUM(UF_Calculations_1!B190:B202))*((SUM(UF_Calculations_1!B190:B199)-UF_Calculations_1!B194-UF_Calculations_1!B196))</f>
        <v>228348.10255573655</v>
      </c>
      <c r="C99" s="403">
        <f>(1-Baseline!K$46/SUM(UF_Calculations_1!C190:C202))*((SUM(UF_Calculations_1!C190:C199)-UF_Calculations_1!C194-UF_Calculations_1!C196))</f>
        <v>234837.90814225</v>
      </c>
      <c r="D99" s="403">
        <f>(1-Baseline!L$46/SUM(UF_Calculations_1!D190:D202))*((SUM(UF_Calculations_1!D190:D199)-UF_Calculations_1!D194-UF_Calculations_1!D196))</f>
        <v>242426.86002258066</v>
      </c>
      <c r="E99" s="403">
        <f>(1-Baseline!M$46/SUM(UF_Calculations_1!E190:E202))*((SUM(UF_Calculations_1!E190:E199)-UF_Calculations_1!E194-UF_Calculations_1!E196))</f>
        <v>249414.61271100637</v>
      </c>
      <c r="F99" s="403">
        <f>(1-Baseline!N$46/SUM(UF_Calculations_1!F190:F202))*((SUM(UF_Calculations_1!F190:F199)-UF_Calculations_1!F194-UF_Calculations_1!F196))</f>
        <v>255739.83825087344</v>
      </c>
      <c r="G99" s="403">
        <f>(1-Baseline!O$46/SUM(UF_Calculations_1!G190:G202))*((SUM(UF_Calculations_1!G190:G199)-UF_Calculations_1!G194-UF_Calculations_1!G196))</f>
        <v>262497.01465419837</v>
      </c>
      <c r="H99" s="403">
        <f>(1-Baseline!P$46/SUM(UF_Calculations_1!H190:H202))*((SUM(UF_Calculations_1!H190:H199)-UF_Calculations_1!H194-UF_Calculations_1!H196))</f>
        <v>269323.89201070421</v>
      </c>
      <c r="I99" s="403">
        <f>(1-Baseline!Q$46/SUM(UF_Calculations_1!I190:I202))*((SUM(UF_Calculations_1!I190:I199)-UF_Calculations_1!I194-UF_Calculations_1!I196))</f>
        <v>276327.59761671169</v>
      </c>
      <c r="J99" s="403">
        <f>(1-Baseline!R$46/SUM(UF_Calculations_1!J190:J202))*((SUM(UF_Calculations_1!J190:J199)-UF_Calculations_1!J194-UF_Calculations_1!J196))</f>
        <v>283275.8749249219</v>
      </c>
      <c r="K99" s="403">
        <f>(1-Baseline!S$46/SUM(UF_Calculations_1!K190:K202))*((SUM(UF_Calculations_1!K190:K199)-UF_Calculations_1!K194-UF_Calculations_1!K196))</f>
        <v>290139.15357958042</v>
      </c>
      <c r="L99" s="273"/>
      <c r="M99" s="273"/>
      <c r="N99" s="233"/>
      <c r="O99" s="273"/>
    </row>
    <row r="100" spans="1:15">
      <c r="A100" s="302" t="s">
        <v>285</v>
      </c>
      <c r="B100" s="404">
        <f>B99*UF_Assumptions_1!$B$69</f>
        <v>11957.909945006524</v>
      </c>
      <c r="C100" s="404">
        <f>C99*UF_Assumptions_1!$B$69</f>
        <v>12297.761732236444</v>
      </c>
      <c r="D100" s="404">
        <f>D99*UF_Assumptions_1!$B$69</f>
        <v>12695.172536820781</v>
      </c>
      <c r="E100" s="404">
        <f>E99*UF_Assumptions_1!$B$69</f>
        <v>13061.100330531159</v>
      </c>
      <c r="F100" s="404">
        <f>F99*UF_Assumptions_1!$B$69</f>
        <v>13392.333550956644</v>
      </c>
      <c r="G100" s="404">
        <f>G99*UF_Assumptions_1!$B$69</f>
        <v>13746.186751439271</v>
      </c>
      <c r="H100" s="404">
        <f>H99*UF_Assumptions_1!$B$69</f>
        <v>14103.689983220122</v>
      </c>
      <c r="I100" s="404">
        <f>I99*UF_Assumptions_1!$B$69</f>
        <v>14470.453183704929</v>
      </c>
      <c r="J100" s="404">
        <f>J99*UF_Assumptions_1!$B$69</f>
        <v>14834.31376933966</v>
      </c>
      <c r="K100" s="404">
        <f>K99*UF_Assumptions_1!$B$69</f>
        <v>15193.72322867537</v>
      </c>
      <c r="L100" s="273"/>
      <c r="M100" s="273"/>
      <c r="N100" s="272"/>
      <c r="O100" s="273"/>
    </row>
    <row r="101" spans="1:15">
      <c r="A101" s="302" t="s">
        <v>286</v>
      </c>
      <c r="B101" s="403">
        <f>((1-Baseline!J$46/SUM(UF_Calculations_1!B190:B202))*((SUM(UF_Calculations_1!B190:B199)+UF_Calculations_1!B202)))+((UF_Calculations_1!B194-UF_Calculations_1!B24)*(Baseline!J$46/SUM(UF_Calculations_1!B190:B202)))</f>
        <v>299806.92848180881</v>
      </c>
      <c r="C101" s="403">
        <f>((1-Baseline!K$46/SUM(UF_Calculations_1!C190:C202))*((SUM(UF_Calculations_1!C190:C199)+UF_Calculations_1!C202)))+((UF_Calculations_1!C194-UF_Calculations_1!C24)*(Baseline!K$46/SUM(UF_Calculations_1!C190:C202)))</f>
        <v>308634.85565048311</v>
      </c>
      <c r="D101" s="403">
        <f>((1-Baseline!L$46/SUM(UF_Calculations_1!D190:D202))*((SUM(UF_Calculations_1!D190:D199)+UF_Calculations_1!D202)))+((UF_Calculations_1!D194-UF_Calculations_1!D24)*(Baseline!L$46/SUM(UF_Calculations_1!D190:D202)))</f>
        <v>318943.80373700982</v>
      </c>
      <c r="E101" s="403">
        <f>((1-Baseline!M$46/SUM(UF_Calculations_1!E190:E202))*((SUM(UF_Calculations_1!E190:E199)+UF_Calculations_1!E202)))+((UF_Calculations_1!E194-UF_Calculations_1!E24)*(Baseline!M$46/SUM(UF_Calculations_1!E190:E202)))</f>
        <v>328491.64979030215</v>
      </c>
      <c r="F101" s="403">
        <f>((1-Baseline!N$46/SUM(UF_Calculations_1!F190:F202))*((SUM(UF_Calculations_1!F190:F199)+UF_Calculations_1!F202)))+((UF_Calculations_1!F194-UF_Calculations_1!F24)*(Baseline!N$46/SUM(UF_Calculations_1!F190:F202)))</f>
        <v>337242.59435780032</v>
      </c>
      <c r="G101" s="403">
        <f>((1-Baseline!O$46/SUM(UF_Calculations_1!G190:G202))*((SUM(UF_Calculations_1!G190:G199)+UF_Calculations_1!G202)))+((UF_Calculations_1!G194-UF_Calculations_1!G24)*(Baseline!O$46/SUM(UF_Calculations_1!G190:G202)))</f>
        <v>346552.44797151786</v>
      </c>
      <c r="H101" s="403">
        <f>((1-Baseline!P$46/SUM(UF_Calculations_1!H190:H202))*((SUM(UF_Calculations_1!H190:H199)+UF_Calculations_1!H202)))+((UF_Calculations_1!H194-UF_Calculations_1!H24)*(Baseline!P$46/SUM(UF_Calculations_1!H190:H202)))</f>
        <v>356001.8559936767</v>
      </c>
      <c r="I101" s="403">
        <f>((1-Baseline!Q$46/SUM(UF_Calculations_1!I190:I202))*((SUM(UF_Calculations_1!I190:I199)+UF_Calculations_1!I202)))+((UF_Calculations_1!I194-UF_Calculations_1!I24)*(Baseline!Q$46/SUM(UF_Calculations_1!I190:I202)))</f>
        <v>365744.40791120438</v>
      </c>
      <c r="J101" s="403">
        <f>((1-Baseline!R$46/SUM(UF_Calculations_1!J190:J202))*((SUM(UF_Calculations_1!J190:J199)+UF_Calculations_1!J202)))+((UF_Calculations_1!J194-UF_Calculations_1!J24)*(Baseline!R$46/SUM(UF_Calculations_1!J190:J202)))</f>
        <v>375467.39122504147</v>
      </c>
      <c r="K101" s="403">
        <f>((1-Baseline!S$46/SUM(UF_Calculations_1!K190:K202))*((SUM(UF_Calculations_1!K190:K199)+UF_Calculations_1!K202)))+((UF_Calculations_1!K194-UF_Calculations_1!K24)*(Baseline!S$46/SUM(UF_Calculations_1!K190:K202)))</f>
        <v>385136.20812552306</v>
      </c>
    </row>
    <row r="102" spans="1:15">
      <c r="A102" s="302" t="s">
        <v>287</v>
      </c>
      <c r="B102" s="403">
        <f>B101*UF_Assumptions_1!$B$71</f>
        <v>29980.692848180883</v>
      </c>
      <c r="C102" s="403">
        <f>C101*UF_Assumptions_1!$B$71</f>
        <v>30863.485565048311</v>
      </c>
      <c r="D102" s="403">
        <f>D101*UF_Assumptions_1!$B$71</f>
        <v>31894.380373700984</v>
      </c>
      <c r="E102" s="403">
        <f>E101*UF_Assumptions_1!$B$71</f>
        <v>32849.164979030218</v>
      </c>
      <c r="F102" s="403">
        <f>F101*UF_Assumptions_1!$B$71</f>
        <v>33724.259435780034</v>
      </c>
      <c r="G102" s="403">
        <f>G101*UF_Assumptions_1!$B$71</f>
        <v>34655.24479715179</v>
      </c>
      <c r="H102" s="403">
        <f>H101*UF_Assumptions_1!$B$71</f>
        <v>35600.185599367673</v>
      </c>
      <c r="I102" s="403">
        <f>I101*UF_Assumptions_1!$B$71</f>
        <v>36574.44079112044</v>
      </c>
      <c r="J102" s="403">
        <f>J101*UF_Assumptions_1!$B$71</f>
        <v>37546.73912250415</v>
      </c>
      <c r="K102" s="403">
        <f>K101*UF_Assumptions_1!$B$71</f>
        <v>38513.620812552304</v>
      </c>
    </row>
    <row r="103" spans="1:15">
      <c r="A103" s="302" t="s">
        <v>98</v>
      </c>
      <c r="B103" s="406">
        <f>B100+B102</f>
        <v>41938.602793187405</v>
      </c>
      <c r="C103" s="406">
        <f t="shared" ref="C103:K103" si="13">C100+C102</f>
        <v>43161.247297284754</v>
      </c>
      <c r="D103" s="406">
        <f t="shared" si="13"/>
        <v>44589.552910521765</v>
      </c>
      <c r="E103" s="406">
        <f t="shared" si="13"/>
        <v>45910.265309561379</v>
      </c>
      <c r="F103" s="406">
        <f t="shared" si="13"/>
        <v>47116.592986736679</v>
      </c>
      <c r="G103" s="406">
        <f t="shared" si="13"/>
        <v>48401.431548591063</v>
      </c>
      <c r="H103" s="406">
        <f t="shared" si="13"/>
        <v>49703.875582587796</v>
      </c>
      <c r="I103" s="406">
        <f t="shared" si="13"/>
        <v>51044.893974825369</v>
      </c>
      <c r="J103" s="406">
        <f t="shared" si="13"/>
        <v>52381.052891843807</v>
      </c>
      <c r="K103" s="406">
        <f t="shared" si="13"/>
        <v>53707.344041227676</v>
      </c>
    </row>
    <row r="104" spans="1:15">
      <c r="A104" s="302"/>
      <c r="B104" s="407"/>
      <c r="C104" s="407"/>
      <c r="D104" s="407"/>
      <c r="E104" s="407"/>
      <c r="F104" s="407"/>
      <c r="G104" s="407"/>
      <c r="H104" s="407"/>
      <c r="I104" s="407"/>
      <c r="J104" s="407"/>
      <c r="K104" s="407"/>
    </row>
    <row r="105" spans="1:15">
      <c r="A105" s="302" t="s">
        <v>564</v>
      </c>
      <c r="B105" s="407"/>
      <c r="C105" s="407"/>
      <c r="D105" s="407"/>
      <c r="E105" s="407"/>
      <c r="F105" s="407"/>
      <c r="G105" s="407"/>
      <c r="H105" s="407"/>
      <c r="I105" s="407"/>
      <c r="J105" s="407"/>
      <c r="K105" s="407"/>
    </row>
    <row r="106" spans="1:15">
      <c r="A106" s="302" t="s">
        <v>284</v>
      </c>
      <c r="B106" s="403">
        <f>(1-Baseline!J$46/SUM(UF_Calculations_1!B224:B236))*((SUM(UF_Calculations_1!B224:B233)-UF_Calculations_1!B228-UF_Calculations_1!B230))</f>
        <v>228348.10255573655</v>
      </c>
      <c r="C106" s="403">
        <f>(1-Baseline!K$46/SUM(UF_Calculations_1!C224:C236))*((SUM(UF_Calculations_1!C224:C233)-UF_Calculations_1!C228-UF_Calculations_1!C230))</f>
        <v>237648.83770763979</v>
      </c>
      <c r="D106" s="403">
        <f>(1-Baseline!L$46/SUM(UF_Calculations_1!D224:D236))*((SUM(UF_Calculations_1!D224:D233)-UF_Calculations_1!D228-UF_Calculations_1!D230))</f>
        <v>247326.90698741208</v>
      </c>
      <c r="E106" s="403">
        <f>(1-Baseline!M$46/SUM(UF_Calculations_1!E224:E236))*((SUM(UF_Calculations_1!E224:E233)-UF_Calculations_1!E228-UF_Calculations_1!E230))</f>
        <v>257716.57930831212</v>
      </c>
      <c r="F106" s="403">
        <f>(1-Baseline!N$46/SUM(UF_Calculations_1!F224:F236))*((SUM(UF_Calculations_1!F224:F233)-UF_Calculations_1!F228-UF_Calculations_1!F230))</f>
        <v>268378.42978359823</v>
      </c>
      <c r="G106" s="403">
        <f>(1-Baseline!O$46/SUM(UF_Calculations_1!G224:G236))*((SUM(UF_Calculations_1!G224:G233)-UF_Calculations_1!G228-UF_Calculations_1!G230))</f>
        <v>279374.18715763558</v>
      </c>
      <c r="H106" s="403">
        <f>(1-Baseline!P$46/SUM(UF_Calculations_1!H224:H236))*((SUM(UF_Calculations_1!H224:H233)-UF_Calculations_1!H228-UF_Calculations_1!H230))</f>
        <v>290734.38004290371</v>
      </c>
      <c r="I106" s="403">
        <f>(1-Baseline!Q$46/SUM(UF_Calculations_1!I224:I236))*((SUM(UF_Calculations_1!I224:I233)-UF_Calculations_1!I228-UF_Calculations_1!I230))</f>
        <v>302454.72929899365</v>
      </c>
      <c r="J106" s="403">
        <f>(1-Baseline!R$46/SUM(UF_Calculations_1!J224:J236))*((SUM(UF_Calculations_1!J224:J233)-UF_Calculations_1!J228-UF_Calculations_1!J230))</f>
        <v>314536.65400823776</v>
      </c>
      <c r="K106" s="403">
        <f>(1-Baseline!S$46/SUM(UF_Calculations_1!K224:K236))*((SUM(UF_Calculations_1!K224:K233)-UF_Calculations_1!K228-UF_Calculations_1!K230))</f>
        <v>326980.32357403333</v>
      </c>
    </row>
    <row r="107" spans="1:15">
      <c r="A107" s="302" t="s">
        <v>285</v>
      </c>
      <c r="B107" s="406">
        <f>B106*UF_Assumptions_1!$B$69</f>
        <v>11957.909945006524</v>
      </c>
      <c r="C107" s="406">
        <f>C106*UF_Assumptions_1!$B$69</f>
        <v>12444.961740594223</v>
      </c>
      <c r="D107" s="406">
        <f>D106*UF_Assumptions_1!$B$69</f>
        <v>12951.773400484426</v>
      </c>
      <c r="E107" s="406">
        <f>E106*UF_Assumptions_1!$B$69</f>
        <v>13495.849591969856</v>
      </c>
      <c r="F107" s="406">
        <f>F106*UF_Assumptions_1!$B$69</f>
        <v>14054.178942657047</v>
      </c>
      <c r="G107" s="406">
        <f>G106*UF_Assumptions_1!$B$69</f>
        <v>14629.994003015545</v>
      </c>
      <c r="H107" s="406">
        <f>H106*UF_Assumptions_1!$B$69</f>
        <v>15224.893465544612</v>
      </c>
      <c r="I107" s="406">
        <f>I106*UF_Assumptions_1!$B$69</f>
        <v>15838.653244407407</v>
      </c>
      <c r="J107" s="406">
        <f>J106*UF_Assumptions_1!$B$69</f>
        <v>16471.347652718621</v>
      </c>
      <c r="K107" s="406">
        <f>K106*UF_Assumptions_1!$B$69</f>
        <v>17122.985561629564</v>
      </c>
    </row>
    <row r="108" spans="1:15">
      <c r="A108" s="302" t="s">
        <v>286</v>
      </c>
      <c r="B108" s="403">
        <f>((1-Baseline!J$46/SUM(UF_Calculations_1!B224:B236))*((SUM(UF_Calculations_1!B224:B233)+UF_Calculations_1!B236)))+((UF_Calculations_1!B228-UF_Calculations_1!B24)*(Baseline!J$46/SUM(UF_Calculations_1!B224:B236)))</f>
        <v>299806.92848180881</v>
      </c>
      <c r="C108" s="403">
        <f>((1-Baseline!K$46/SUM(UF_Calculations_1!C224:C236))*((SUM(UF_Calculations_1!C224:C233)+UF_Calculations_1!C236)))+((UF_Calculations_1!C228-UF_Calculations_1!C24)*(Baseline!K$46/SUM(UF_Calculations_1!C224:C236)))</f>
        <v>312197.87014911551</v>
      </c>
      <c r="D108" s="403">
        <f>((1-Baseline!L$46/SUM(UF_Calculations_1!D224:D236))*((SUM(UF_Calculations_1!D224:D233)+UF_Calculations_1!D236)))+((UF_Calculations_1!D228-UF_Calculations_1!D24)*(Baseline!L$46/SUM(UF_Calculations_1!D224:D236)))</f>
        <v>324892.45848366036</v>
      </c>
      <c r="E108" s="403">
        <f>((1-Baseline!M$46/SUM(UF_Calculations_1!E224:E236))*((SUM(UF_Calculations_1!E224:E233)+UF_Calculations_1!E236)))+((UF_Calculations_1!E228-UF_Calculations_1!E24)*(Baseline!M$46/SUM(UF_Calculations_1!E224:E236)))</f>
        <v>338624.67874445167</v>
      </c>
      <c r="F108" s="403">
        <f>((1-Baseline!N$46/SUM(UF_Calculations_1!F224:F236))*((SUM(UF_Calculations_1!F224:F233)+UF_Calculations_1!F236)))+((UF_Calculations_1!F228-UF_Calculations_1!F24)*(Baseline!N$46/SUM(UF_Calculations_1!F224:F236)))</f>
        <v>352754.20195152238</v>
      </c>
      <c r="G108" s="403">
        <f>((1-Baseline!O$46/SUM(UF_Calculations_1!G224:G236))*((SUM(UF_Calculations_1!G224:G233)+UF_Calculations_1!G236)))+((UF_Calculations_1!G228-UF_Calculations_1!G24)*(Baseline!O$46/SUM(UF_Calculations_1!G224:G236)))</f>
        <v>367421.3296565077</v>
      </c>
      <c r="H108" s="403">
        <f>((1-Baseline!P$46/SUM(UF_Calculations_1!H224:H236))*((SUM(UF_Calculations_1!H224:H233)+UF_Calculations_1!H236)))+((UF_Calculations_1!H228-UF_Calculations_1!H24)*(Baseline!P$46/SUM(UF_Calculations_1!H224:H236)))</f>
        <v>382591.03784713789</v>
      </c>
      <c r="I108" s="403">
        <f>((1-Baseline!Q$46/SUM(UF_Calculations_1!I224:I236))*((SUM(UF_Calculations_1!I224:I233)+UF_Calculations_1!I236)))+((UF_Calculations_1!I228-UF_Calculations_1!I24)*(Baseline!Q$46/SUM(UF_Calculations_1!I224:I236)))</f>
        <v>398247.53982672706</v>
      </c>
      <c r="J108" s="403">
        <f>((1-Baseline!R$46/SUM(UF_Calculations_1!J224:J236))*((SUM(UF_Calculations_1!J224:J233)+UF_Calculations_1!J236)))+((UF_Calculations_1!J228-UF_Calculations_1!J24)*(Baseline!R$46/SUM(UF_Calculations_1!J224:J236)))</f>
        <v>414416.16961610608</v>
      </c>
      <c r="K108" s="403">
        <f>((1-Baseline!S$46/SUM(UF_Calculations_1!K224:K236))*((SUM(UF_Calculations_1!K224:K233)+UF_Calculations_1!K236)))+((UF_Calculations_1!K228-UF_Calculations_1!K24)*(Baseline!S$46/SUM(UF_Calculations_1!K224:K236)))</f>
        <v>431101.28952263505</v>
      </c>
    </row>
    <row r="109" spans="1:15">
      <c r="A109" s="302" t="s">
        <v>287</v>
      </c>
      <c r="B109" s="403">
        <f>B108*UF_Assumptions_1!$B$71</f>
        <v>29980.692848180883</v>
      </c>
      <c r="C109" s="403">
        <f>C108*UF_Assumptions_1!$B$71</f>
        <v>31219.787014911552</v>
      </c>
      <c r="D109" s="403">
        <f>D108*UF_Assumptions_1!$B$71</f>
        <v>32489.245848366038</v>
      </c>
      <c r="E109" s="403">
        <f>E108*UF_Assumptions_1!$B$71</f>
        <v>33862.467874445167</v>
      </c>
      <c r="F109" s="403">
        <f>F108*UF_Assumptions_1!$B$71</f>
        <v>35275.420195152241</v>
      </c>
      <c r="G109" s="403">
        <f>G108*UF_Assumptions_1!$B$71</f>
        <v>36742.132965650773</v>
      </c>
      <c r="H109" s="403">
        <f>H108*UF_Assumptions_1!$B$71</f>
        <v>38259.103784713792</v>
      </c>
      <c r="I109" s="403">
        <f>I108*UF_Assumptions_1!$B$71</f>
        <v>39824.753982672708</v>
      </c>
      <c r="J109" s="403">
        <f>J108*UF_Assumptions_1!$B$71</f>
        <v>41441.616961610613</v>
      </c>
      <c r="K109" s="403">
        <f>K108*UF_Assumptions_1!$B$71</f>
        <v>43110.128952263505</v>
      </c>
    </row>
    <row r="110" spans="1:15">
      <c r="A110" s="302" t="s">
        <v>98</v>
      </c>
      <c r="B110" s="406">
        <f>B107+B109</f>
        <v>41938.602793187405</v>
      </c>
      <c r="C110" s="406">
        <f t="shared" ref="C110:K110" si="14">C107+C109</f>
        <v>43664.748755505774</v>
      </c>
      <c r="D110" s="406">
        <f t="shared" si="14"/>
        <v>45441.019248850462</v>
      </c>
      <c r="E110" s="406">
        <f t="shared" si="14"/>
        <v>47358.317466415021</v>
      </c>
      <c r="F110" s="406">
        <f t="shared" si="14"/>
        <v>49329.599137809288</v>
      </c>
      <c r="G110" s="406">
        <f t="shared" si="14"/>
        <v>51372.126968666314</v>
      </c>
      <c r="H110" s="406">
        <f t="shared" si="14"/>
        <v>53483.997250258406</v>
      </c>
      <c r="I110" s="406">
        <f t="shared" si="14"/>
        <v>55663.407227080112</v>
      </c>
      <c r="J110" s="406">
        <f t="shared" si="14"/>
        <v>57912.964614329234</v>
      </c>
      <c r="K110" s="406">
        <f t="shared" si="14"/>
        <v>60233.114513893073</v>
      </c>
    </row>
    <row r="111" spans="1:15">
      <c r="A111" s="302"/>
      <c r="B111" s="406"/>
      <c r="C111" s="406"/>
      <c r="D111" s="406"/>
      <c r="E111" s="406"/>
      <c r="F111" s="406"/>
      <c r="G111" s="406"/>
      <c r="H111" s="406"/>
      <c r="I111" s="406"/>
      <c r="J111" s="406"/>
      <c r="K111" s="406"/>
    </row>
    <row r="112" spans="1:15">
      <c r="A112" s="302" t="s">
        <v>565</v>
      </c>
      <c r="B112" s="407"/>
      <c r="C112" s="407"/>
      <c r="D112" s="407"/>
      <c r="E112" s="407"/>
      <c r="F112" s="407"/>
      <c r="G112" s="407"/>
      <c r="H112" s="407"/>
      <c r="I112" s="407"/>
      <c r="J112" s="407"/>
      <c r="K112" s="407"/>
    </row>
    <row r="113" spans="1:11">
      <c r="A113" s="302" t="s">
        <v>284</v>
      </c>
      <c r="B113" s="403">
        <f>(1-Baseline!J$46/SUM(UF_Calculations_1!B258:B270))*((SUM(UF_Calculations_1!B258:B267)-UF_Calculations_1!B262-UF_Calculations_1!B264))</f>
        <v>220571.95072300741</v>
      </c>
      <c r="C113" s="403">
        <f>(1-Baseline!K$46/SUM(UF_Calculations_1!C258:C270))*((SUM(UF_Calculations_1!C258:C267)-UF_Calculations_1!C262-UF_Calculations_1!C264))</f>
        <v>226518.94772805669</v>
      </c>
      <c r="D113" s="403">
        <f>(1-Baseline!L$46/SUM(UF_Calculations_1!D258:D270))*((SUM(UF_Calculations_1!D258:D267)-UF_Calculations_1!D262-UF_Calculations_1!D264))</f>
        <v>233542.69370319133</v>
      </c>
      <c r="E113" s="403">
        <f>(1-Baseline!M$46/SUM(UF_Calculations_1!E258:E270))*((SUM(UF_Calculations_1!E258:E267)-UF_Calculations_1!E262-UF_Calculations_1!E264))</f>
        <v>239909.8306331088</v>
      </c>
      <c r="F113" s="403">
        <f>(1-Baseline!N$46/SUM(UF_Calculations_1!F258:F270))*((SUM(UF_Calculations_1!F258:F267)-UF_Calculations_1!F262-UF_Calculations_1!F264))</f>
        <v>245556.01885602667</v>
      </c>
      <c r="G113" s="403">
        <f>(1-Baseline!O$46/SUM(UF_Calculations_1!G258:G270))*((SUM(UF_Calculations_1!G258:G267)-UF_Calculations_1!G262-UF_Calculations_1!G264))</f>
        <v>251611.87721641426</v>
      </c>
      <c r="H113" s="403">
        <f>(1-Baseline!P$46/SUM(UF_Calculations_1!H258:H270))*((SUM(UF_Calculations_1!H258:H267)-UF_Calculations_1!H262-UF_Calculations_1!H264))</f>
        <v>257693.10687828416</v>
      </c>
      <c r="I113" s="403">
        <f>(1-Baseline!Q$46/SUM(UF_Calculations_1!I258:I270))*((SUM(UF_Calculations_1!I258:I267)-UF_Calculations_1!I262-UF_Calculations_1!I264))</f>
        <v>263884.9155662792</v>
      </c>
      <c r="J113" s="403">
        <f>(1-Baseline!R$46/SUM(UF_Calculations_1!J258:J270))*((SUM(UF_Calculations_1!J258:J267)-UF_Calculations_1!J262-UF_Calculations_1!J264))</f>
        <v>269963.82700428827</v>
      </c>
      <c r="K113" s="403">
        <f>(1-Baseline!S$46/SUM(UF_Calculations_1!K258:K270))*((SUM(UF_Calculations_1!K258:K267)-UF_Calculations_1!K262-UF_Calculations_1!K264))</f>
        <v>275896.1530049807</v>
      </c>
    </row>
    <row r="114" spans="1:11">
      <c r="A114" s="302" t="s">
        <v>285</v>
      </c>
      <c r="B114" s="406">
        <f>B113*UF_Assumptions_1!$B$69</f>
        <v>11550.696036531957</v>
      </c>
      <c r="C114" s="406">
        <f>C113*UF_Assumptions_1!$B$69</f>
        <v>11862.122555227224</v>
      </c>
      <c r="D114" s="406">
        <f>D113*UF_Assumptions_1!$B$69</f>
        <v>12229.935210148504</v>
      </c>
      <c r="E114" s="406">
        <f>E113*UF_Assumptions_1!$B$69</f>
        <v>12563.36320522849</v>
      </c>
      <c r="F114" s="406">
        <f>F113*UF_Assumptions_1!$B$69</f>
        <v>12859.037264029696</v>
      </c>
      <c r="G114" s="406">
        <f>G113*UF_Assumptions_1!$B$69</f>
        <v>13176.164527636161</v>
      </c>
      <c r="H114" s="406">
        <f>H113*UF_Assumptions_1!$B$69</f>
        <v>13494.620410727168</v>
      </c>
      <c r="I114" s="406">
        <f>I113*UF_Assumptions_1!$B$69</f>
        <v>13818.866988032016</v>
      </c>
      <c r="J114" s="406">
        <f>J113*UF_Assumptions_1!$B$69</f>
        <v>14137.201472644776</v>
      </c>
      <c r="K114" s="406">
        <f>K113*UF_Assumptions_1!$B$69</f>
        <v>14447.859714542739</v>
      </c>
    </row>
    <row r="115" spans="1:11">
      <c r="A115" s="302" t="s">
        <v>286</v>
      </c>
      <c r="B115" s="403">
        <f>((1-Baseline!J$46/SUM(UF_Calculations_1!B258:B270))*((SUM(UF_Calculations_1!B258:B267)+UF_Calculations_1!B270)))+((UF_Calculations_1!B269-UF_Calculations_1!B31)*(Baseline!J$46/SUM(UF_Calculations_1!B258:B270)))</f>
        <v>264173.36153188691</v>
      </c>
      <c r="C115" s="403">
        <f>((1-Baseline!K$46/SUM(UF_Calculations_1!C258:C270))*((SUM(UF_Calculations_1!C258:C267)+UF_Calculations_1!C270)))+((UF_Calculations_1!C269-UF_Calculations_1!C31)*(Baseline!K$46/SUM(UF_Calculations_1!C258:C270)))</f>
        <v>271260.54747908545</v>
      </c>
      <c r="D115" s="403">
        <f>((1-Baseline!L$46/SUM(UF_Calculations_1!D258:D270))*((SUM(UF_Calculations_1!D258:D267)+UF_Calculations_1!D270)))+((UF_Calculations_1!D269-UF_Calculations_1!D31)*(Baseline!L$46/SUM(UF_Calculations_1!D258:D270)))</f>
        <v>279657.71306597308</v>
      </c>
      <c r="E115" s="403">
        <f>((1-Baseline!M$46/SUM(UF_Calculations_1!E258:E270))*((SUM(UF_Calculations_1!E258:E267)+UF_Calculations_1!E270)))+((UF_Calculations_1!E269-UF_Calculations_1!E31)*(Baseline!M$46/SUM(UF_Calculations_1!E258:E270)))</f>
        <v>287239.43899689551</v>
      </c>
      <c r="F115" s="403">
        <f>((1-Baseline!N$46/SUM(UF_Calculations_1!F258:F270))*((SUM(UF_Calculations_1!F258:F267)+UF_Calculations_1!F270)))+((UF_Calculations_1!F269-UF_Calculations_1!F31)*(Baseline!N$46/SUM(UF_Calculations_1!F258:F270)))</f>
        <v>293936.8936580008</v>
      </c>
      <c r="G115" s="403">
        <f>((1-Baseline!O$46/SUM(UF_Calculations_1!G258:G270))*((SUM(UF_Calculations_1!G258:G267)+UF_Calculations_1!G270)))+((UF_Calculations_1!G269-UF_Calculations_1!G31)*(Baseline!O$46/SUM(UF_Calculations_1!G258:G270)))</f>
        <v>301116.56722293841</v>
      </c>
      <c r="H115" s="403">
        <f>((1-Baseline!P$46/SUM(UF_Calculations_1!H258:H270))*((SUM(UF_Calculations_1!H258:H267)+UF_Calculations_1!H270)))+((UF_Calculations_1!H269-UF_Calculations_1!H31)*(Baseline!P$46/SUM(UF_Calculations_1!H258:H270)))</f>
        <v>308333.88984493696</v>
      </c>
      <c r="I115" s="403">
        <f>((1-Baseline!Q$46/SUM(UF_Calculations_1!I258:I270))*((SUM(UF_Calculations_1!I258:I267)+UF_Calculations_1!I270)))+((UF_Calculations_1!I269-UF_Calculations_1!I31)*(Baseline!Q$46/SUM(UF_Calculations_1!I258:I270)))</f>
        <v>315681.12040421314</v>
      </c>
      <c r="J115" s="403">
        <f>((1-Baseline!R$46/SUM(UF_Calculations_1!J258:J270))*((SUM(UF_Calculations_1!J258:J267)+UF_Calculations_1!J270)))+((UF_Calculations_1!J269-UF_Calculations_1!J31)*(Baseline!R$46/SUM(UF_Calculations_1!J258:J270)))</f>
        <v>322884.88303678756</v>
      </c>
      <c r="K115" s="403">
        <f>((1-Baseline!S$46/SUM(UF_Calculations_1!K258:K270))*((SUM(UF_Calculations_1!K258:K267)+UF_Calculations_1!K270)))+((UF_Calculations_1!K269-UF_Calculations_1!K31)*(Baseline!S$46/SUM(UF_Calculations_1!K258:K270)))</f>
        <v>329903.99206584273</v>
      </c>
    </row>
    <row r="116" spans="1:11">
      <c r="A116" s="302" t="s">
        <v>287</v>
      </c>
      <c r="B116" s="405">
        <f>B115*UF_Assumptions_1!$B$71</f>
        <v>26417.336153188691</v>
      </c>
      <c r="C116" s="405">
        <f>C115*UF_Assumptions_1!$B$71</f>
        <v>27126.054747908547</v>
      </c>
      <c r="D116" s="405">
        <f>D115*UF_Assumptions_1!$B$71</f>
        <v>27965.771306597308</v>
      </c>
      <c r="E116" s="405">
        <f>E115*UF_Assumptions_1!$B$71</f>
        <v>28723.943899689551</v>
      </c>
      <c r="F116" s="405">
        <f>F115*UF_Assumptions_1!$B$71</f>
        <v>29393.689365800081</v>
      </c>
      <c r="G116" s="405">
        <f>G115*UF_Assumptions_1!$B$71</f>
        <v>30111.656722293843</v>
      </c>
      <c r="H116" s="405">
        <f>H115*UF_Assumptions_1!$B$71</f>
        <v>30833.388984493697</v>
      </c>
      <c r="I116" s="405">
        <f>I115*UF_Assumptions_1!$B$71</f>
        <v>31568.112040421314</v>
      </c>
      <c r="J116" s="405">
        <f>J115*UF_Assumptions_1!$B$71</f>
        <v>32288.488303678758</v>
      </c>
      <c r="K116" s="405">
        <f>K115*UF_Assumptions_1!$B$71</f>
        <v>32990.399206584276</v>
      </c>
    </row>
    <row r="117" spans="1:11">
      <c r="A117" s="302" t="s">
        <v>98</v>
      </c>
      <c r="B117" s="404">
        <f>B114+B116</f>
        <v>37968.032189720645</v>
      </c>
      <c r="C117" s="404">
        <f t="shared" ref="C117:K117" si="15">C114+C116</f>
        <v>38988.177303135773</v>
      </c>
      <c r="D117" s="404">
        <f t="shared" si="15"/>
        <v>40195.706516745813</v>
      </c>
      <c r="E117" s="404">
        <f t="shared" si="15"/>
        <v>41287.307104918043</v>
      </c>
      <c r="F117" s="404">
        <f t="shared" si="15"/>
        <v>42252.726629829776</v>
      </c>
      <c r="G117" s="404">
        <f t="shared" si="15"/>
        <v>43287.821249930006</v>
      </c>
      <c r="H117" s="404">
        <f t="shared" si="15"/>
        <v>44328.009395220863</v>
      </c>
      <c r="I117" s="404">
        <f t="shared" si="15"/>
        <v>45386.97902845333</v>
      </c>
      <c r="J117" s="404">
        <f t="shared" si="15"/>
        <v>46425.689776323532</v>
      </c>
      <c r="K117" s="404">
        <f t="shared" si="15"/>
        <v>47438.258921127017</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8"/>
  <sheetViews>
    <sheetView workbookViewId="0">
      <selection activeCell="D7" sqref="D7"/>
    </sheetView>
  </sheetViews>
  <sheetFormatPr defaultColWidth="8.81640625" defaultRowHeight="14.5"/>
  <cols>
    <col min="1" max="1" width="63.453125" bestFit="1" customWidth="1"/>
    <col min="2" max="2" width="19" bestFit="1" customWidth="1"/>
    <col min="3" max="10" width="10" bestFit="1" customWidth="1"/>
    <col min="11" max="11" width="12.453125" bestFit="1" customWidth="1"/>
    <col min="12" max="13" width="11.7265625" style="56" bestFit="1" customWidth="1"/>
    <col min="14" max="14" width="15.81640625" customWidth="1"/>
    <col min="15" max="15" width="11.1796875" customWidth="1"/>
    <col min="16" max="16" width="12.453125" customWidth="1"/>
  </cols>
  <sheetData>
    <row r="1" spans="1:14">
      <c r="A1" s="313" t="s">
        <v>376</v>
      </c>
    </row>
    <row r="2" spans="1:14">
      <c r="A2" s="7" t="s">
        <v>313</v>
      </c>
      <c r="L2" s="56" t="s">
        <v>343</v>
      </c>
      <c r="M2" s="56" t="s">
        <v>344</v>
      </c>
      <c r="N2" t="s">
        <v>316</v>
      </c>
    </row>
    <row r="3" spans="1:14">
      <c r="B3">
        <v>2022</v>
      </c>
      <c r="C3">
        <v>2023</v>
      </c>
      <c r="D3">
        <v>2024</v>
      </c>
      <c r="E3">
        <v>2025</v>
      </c>
      <c r="F3">
        <v>2026</v>
      </c>
      <c r="G3">
        <v>2027</v>
      </c>
      <c r="H3">
        <v>2028</v>
      </c>
      <c r="I3">
        <v>2029</v>
      </c>
      <c r="J3">
        <v>2030</v>
      </c>
      <c r="K3">
        <v>2031</v>
      </c>
    </row>
    <row r="4" spans="1:14">
      <c r="A4" t="s">
        <v>4</v>
      </c>
      <c r="B4" s="13">
        <f>Baseline!J22</f>
        <v>159625.36908519344</v>
      </c>
      <c r="C4" s="13">
        <f>Baseline!K22</f>
        <v>169100.1431667142</v>
      </c>
      <c r="D4" s="13">
        <f>Baseline!L22</f>
        <v>178939.90936046341</v>
      </c>
      <c r="E4" s="13">
        <f>Baseline!M22</f>
        <v>189760.97312036945</v>
      </c>
      <c r="F4" s="13">
        <f>Baseline!N22</f>
        <v>201849.14932877882</v>
      </c>
      <c r="G4" s="13">
        <f>Baseline!O22</f>
        <v>213826.17371437998</v>
      </c>
      <c r="H4" s="13">
        <f>Baseline!P22</f>
        <v>226510.70725230203</v>
      </c>
      <c r="I4" s="13">
        <f>Baseline!Q22</f>
        <v>240226.25472700177</v>
      </c>
      <c r="J4" s="13">
        <f>Baseline!R22</f>
        <v>254772.24100852068</v>
      </c>
      <c r="K4" s="13">
        <f>Baseline!S22</f>
        <v>270198.93990744982</v>
      </c>
    </row>
    <row r="5" spans="1:14">
      <c r="A5" t="s">
        <v>5</v>
      </c>
      <c r="B5" s="13">
        <f>Baseline!J23</f>
        <v>116050.8649671637</v>
      </c>
      <c r="C5" s="13">
        <f>Baseline!K23</f>
        <v>122474.8573007146</v>
      </c>
      <c r="D5" s="13">
        <f>Baseline!L23</f>
        <v>129234.05509279952</v>
      </c>
      <c r="E5" s="13">
        <f>Baseline!M23</f>
        <v>136790.66473443585</v>
      </c>
      <c r="F5" s="13">
        <f>Baseline!N23</f>
        <v>144409.47189377464</v>
      </c>
      <c r="G5" s="13">
        <f>Baseline!O23</f>
        <v>152544.86011450438</v>
      </c>
      <c r="H5" s="13">
        <f>Baseline!P23</f>
        <v>161136.30794560839</v>
      </c>
      <c r="I5" s="13">
        <f>Baseline!Q23</f>
        <v>170141.21787946645</v>
      </c>
      <c r="J5" s="13">
        <f>Baseline!R23</f>
        <v>179649.31609143686</v>
      </c>
      <c r="K5" s="13">
        <f>Baseline!S23</f>
        <v>189688.71567750094</v>
      </c>
    </row>
    <row r="6" spans="1:14">
      <c r="A6" t="s">
        <v>6</v>
      </c>
      <c r="B6" s="13">
        <f>Baseline!J24</f>
        <v>13214.904741473663</v>
      </c>
      <c r="C6" s="13">
        <f>Baseline!K24</f>
        <v>13946.4154180365</v>
      </c>
      <c r="D6" s="13">
        <f>Baseline!L24</f>
        <v>14716.09649690183</v>
      </c>
      <c r="E6" s="13">
        <f>Baseline!M24</f>
        <v>15517.689525153992</v>
      </c>
      <c r="F6" s="13">
        <f>Baseline!N24</f>
        <v>16366.447787771269</v>
      </c>
      <c r="G6" s="13">
        <f>Baseline!O24</f>
        <v>17272.089112584275</v>
      </c>
      <c r="H6" s="13">
        <f>Baseline!P24</f>
        <v>18210.312234652982</v>
      </c>
      <c r="I6" s="13">
        <f>Baseline!Q24</f>
        <v>19203.688353271264</v>
      </c>
      <c r="J6" s="13">
        <f>Baseline!R24</f>
        <v>20251.248786461161</v>
      </c>
      <c r="K6" s="13">
        <f>Baseline!S24</f>
        <v>21355.948524973879</v>
      </c>
    </row>
    <row r="7" spans="1:14">
      <c r="A7" t="s">
        <v>7</v>
      </c>
      <c r="B7" s="13">
        <f>Baseline!J25</f>
        <v>20748.242731869101</v>
      </c>
      <c r="C7" s="13">
        <f>Baseline!K25</f>
        <v>21668.453656984439</v>
      </c>
      <c r="D7" s="13">
        <f>Baseline!L25</f>
        <v>22625.906506454136</v>
      </c>
      <c r="E7" s="13">
        <f>Baseline!M25</f>
        <v>23631.990719503716</v>
      </c>
      <c r="F7" s="13">
        <f>Baseline!N25</f>
        <v>24688.094222345684</v>
      </c>
      <c r="G7" s="13">
        <f>Baseline!O25</f>
        <v>25757.864583768816</v>
      </c>
      <c r="H7" s="13">
        <f>Baseline!P25</f>
        <v>26873.614038626438</v>
      </c>
      <c r="I7" s="13">
        <f>Baseline!Q25</f>
        <v>28043.904418972677</v>
      </c>
      <c r="J7" s="13">
        <f>Baseline!R25</f>
        <v>29265.15195518715</v>
      </c>
      <c r="K7" s="13">
        <f>Baseline!S25</f>
        <v>30539.574756058875</v>
      </c>
    </row>
    <row r="8" spans="1:14">
      <c r="A8" t="s">
        <v>8</v>
      </c>
      <c r="B8" s="13">
        <f>Baseline!J26</f>
        <v>28689.635954420595</v>
      </c>
      <c r="C8" s="13">
        <f>Baseline!K26</f>
        <v>30335.148515759727</v>
      </c>
      <c r="D8" s="13">
        <f>Baseline!L26</f>
        <v>31948.617271280385</v>
      </c>
      <c r="E8" s="13">
        <f>Baseline!M26</f>
        <v>33784.762834506182</v>
      </c>
      <c r="F8" s="13">
        <f>Baseline!N26</f>
        <v>35734.081370261993</v>
      </c>
      <c r="G8" s="13">
        <f>Baseline!O26</f>
        <v>37782.926230403427</v>
      </c>
      <c r="H8" s="13">
        <f>Baseline!P26</f>
        <v>39910.890682114885</v>
      </c>
      <c r="I8" s="13">
        <f>Baseline!Q26</f>
        <v>42181.182194971159</v>
      </c>
      <c r="J8" s="13">
        <f>Baseline!R26</f>
        <v>44580.606980834782</v>
      </c>
      <c r="K8" s="13">
        <f>Baseline!S26</f>
        <v>47116.508905555907</v>
      </c>
    </row>
    <row r="9" spans="1:14">
      <c r="A9" t="s">
        <v>9</v>
      </c>
      <c r="B9" s="13">
        <f>Baseline!J27</f>
        <v>18574.742866293738</v>
      </c>
      <c r="C9" s="13">
        <f>Baseline!K27</f>
        <v>19918.824104792944</v>
      </c>
      <c r="D9" s="13">
        <f>Baseline!L27</f>
        <v>21316.948906552647</v>
      </c>
      <c r="E9" s="13">
        <f>Baseline!M27</f>
        <v>22840.643515518419</v>
      </c>
      <c r="F9" s="13">
        <f>Baseline!N27</f>
        <v>24455.631030424964</v>
      </c>
      <c r="G9" s="13">
        <f>Baseline!O27</f>
        <v>26224.767091935781</v>
      </c>
      <c r="H9" s="13">
        <f>Baseline!P27</f>
        <v>28121.490569323119</v>
      </c>
      <c r="I9" s="13">
        <f>Baseline!Q27</f>
        <v>30133.687089869396</v>
      </c>
      <c r="J9" s="13">
        <f>Baseline!R27</f>
        <v>32289.856451626969</v>
      </c>
      <c r="K9" s="13">
        <f>Baseline!S27</f>
        <v>34600.298954835205</v>
      </c>
    </row>
    <row r="10" spans="1:14">
      <c r="A10" t="s">
        <v>10</v>
      </c>
      <c r="B10" s="13">
        <f>Baseline!J28</f>
        <v>19314.903208446871</v>
      </c>
      <c r="C10" s="13">
        <f>Baseline!K28</f>
        <v>20248.829312751863</v>
      </c>
      <c r="D10" s="13">
        <f>Baseline!L28</f>
        <v>21163.806395663054</v>
      </c>
      <c r="E10" s="13">
        <f>Baseline!M28</f>
        <v>22126.050076564541</v>
      </c>
      <c r="F10" s="13">
        <f>Baseline!N28</f>
        <v>23181.275733174672</v>
      </c>
      <c r="G10" s="13">
        <f>Baseline!O28</f>
        <v>24324.88535007407</v>
      </c>
      <c r="H10" s="13">
        <f>Baseline!P28</f>
        <v>25597.553137678322</v>
      </c>
      <c r="I10" s="13">
        <f>Baseline!Q28</f>
        <v>26865.890611128772</v>
      </c>
      <c r="J10" s="13">
        <f>Baseline!R28</f>
        <v>28197.066818839965</v>
      </c>
      <c r="K10" s="13">
        <f>Baseline!S28</f>
        <v>29594.194354944852</v>
      </c>
    </row>
    <row r="11" spans="1:14">
      <c r="A11" t="s">
        <v>18</v>
      </c>
      <c r="B11" s="13">
        <f>Baseline!J29</f>
        <v>43283.768889341547</v>
      </c>
      <c r="C11" s="13">
        <f>Baseline!K29</f>
        <v>45809.635683843742</v>
      </c>
      <c r="D11" s="13">
        <f>Baseline!L29</f>
        <v>48521.06984137556</v>
      </c>
      <c r="E11" s="13">
        <f>Baseline!M29</f>
        <v>51358.207342961832</v>
      </c>
      <c r="F11" s="13">
        <f>Baseline!N29</f>
        <v>54475.65762096009</v>
      </c>
      <c r="G11" s="13">
        <f>Baseline!O29</f>
        <v>57762.546077953564</v>
      </c>
      <c r="H11" s="13">
        <f>Baseline!P29</f>
        <v>61189.118888166522</v>
      </c>
      <c r="I11" s="13">
        <f>Baseline!Q29</f>
        <v>64853.406465689412</v>
      </c>
      <c r="J11" s="13">
        <f>Baseline!R29</f>
        <v>68737.11310099042</v>
      </c>
      <c r="K11" s="13">
        <f>Baseline!S29</f>
        <v>72853.375825008727</v>
      </c>
    </row>
    <row r="12" spans="1:14">
      <c r="A12" t="s">
        <v>16</v>
      </c>
      <c r="B12" s="13">
        <f>Baseline!J30</f>
        <v>9637.1769998811087</v>
      </c>
      <c r="C12" s="13">
        <f>Baseline!K30</f>
        <v>10083.87888270471</v>
      </c>
      <c r="D12" s="13">
        <f>Baseline!L30</f>
        <v>10559.707107985336</v>
      </c>
      <c r="E12" s="13">
        <f>Baseline!M30</f>
        <v>11060.948612131126</v>
      </c>
      <c r="F12" s="13">
        <f>Baseline!N30</f>
        <v>11588.462412451476</v>
      </c>
      <c r="G12" s="13">
        <f>Baseline!O30</f>
        <v>12148.56775369268</v>
      </c>
      <c r="H12" s="13">
        <f>Baseline!P30</f>
        <v>12735.566684289943</v>
      </c>
      <c r="I12" s="13">
        <f>Baseline!Q30</f>
        <v>13345.373113401587</v>
      </c>
      <c r="J12" s="13">
        <f>Baseline!R30</f>
        <v>13984.375250099914</v>
      </c>
      <c r="K12" s="13">
        <f>Baseline!S30</f>
        <v>14653.970556324568</v>
      </c>
    </row>
    <row r="13" spans="1:14">
      <c r="A13" t="s">
        <v>11</v>
      </c>
      <c r="B13" s="13">
        <f>Baseline!J31</f>
        <v>5567.7527166346454</v>
      </c>
      <c r="C13" s="13">
        <f>Baseline!K31</f>
        <v>5898.23401440212</v>
      </c>
      <c r="D13" s="13">
        <f>Baseline!L31</f>
        <v>6247.34557001762</v>
      </c>
      <c r="E13" s="13">
        <f>Baseline!M31</f>
        <v>6618.8922334431563</v>
      </c>
      <c r="F13" s="13">
        <f>Baseline!N31</f>
        <v>7014.036641982756</v>
      </c>
      <c r="G13" s="13">
        <f>Baseline!O31</f>
        <v>7444.2576392729952</v>
      </c>
      <c r="H13" s="13">
        <f>Baseline!P31</f>
        <v>7863.524149472707</v>
      </c>
      <c r="I13" s="13">
        <f>Baseline!Q31</f>
        <v>8326.5632206017526</v>
      </c>
      <c r="J13" s="13">
        <f>Baseline!R31</f>
        <v>8816.8660993801132</v>
      </c>
      <c r="K13" s="13">
        <f>Baseline!S31</f>
        <v>9336.0378445872284</v>
      </c>
    </row>
    <row r="14" spans="1:14">
      <c r="A14" t="s">
        <v>13</v>
      </c>
      <c r="B14" s="17">
        <f>Baseline!J35</f>
        <v>13015.934321462773</v>
      </c>
      <c r="C14" s="17">
        <f>Baseline!K35</f>
        <v>13476.024721270978</v>
      </c>
      <c r="D14" s="17">
        <f>Baseline!L35</f>
        <v>13923.220163679234</v>
      </c>
      <c r="E14" s="17">
        <f>Baseline!M35</f>
        <v>14458.753862211928</v>
      </c>
      <c r="F14" s="17">
        <f>Baseline!N35</f>
        <v>15047.036138730071</v>
      </c>
      <c r="G14" s="17">
        <f>Baseline!O35</f>
        <v>15608.734786912868</v>
      </c>
      <c r="H14" s="17">
        <f>Baseline!P35</f>
        <v>16159.948137089295</v>
      </c>
      <c r="I14" s="17">
        <f>Baseline!Q35</f>
        <v>16766.700865673727</v>
      </c>
      <c r="J14" s="17">
        <f>Baseline!R35</f>
        <v>17396.231249972214</v>
      </c>
      <c r="K14" s="17">
        <f>Baseline!S35</f>
        <v>18049.393987394586</v>
      </c>
      <c r="L14" s="299"/>
    </row>
    <row r="15" spans="1:14">
      <c r="A15" s="6" t="s">
        <v>71</v>
      </c>
      <c r="B15" s="17">
        <f>Baseline!J36</f>
        <v>28791.565066927964</v>
      </c>
      <c r="C15" s="17">
        <f>Baseline!K36</f>
        <v>30298.917575967578</v>
      </c>
      <c r="D15" s="17">
        <f>Baseline!L36</f>
        <v>31880.154947029732</v>
      </c>
      <c r="E15" s="17">
        <f>Baseline!M36</f>
        <v>33584.788311616554</v>
      </c>
      <c r="F15" s="17">
        <f>Baseline!N36</f>
        <v>35388.140800757341</v>
      </c>
      <c r="G15" s="17">
        <f>Baseline!O36</f>
        <v>37275.55331184082</v>
      </c>
      <c r="H15" s="17">
        <f>Baseline!P36</f>
        <v>39225.794609276592</v>
      </c>
      <c r="I15" s="17">
        <f>Baseline!Q36</f>
        <v>41300.179658613044</v>
      </c>
      <c r="J15" s="17">
        <f>Baseline!R36</f>
        <v>43484.255035020928</v>
      </c>
      <c r="K15" s="17">
        <f>Baseline!S36</f>
        <v>45783.819883571348</v>
      </c>
      <c r="L15" s="299"/>
    </row>
    <row r="16" spans="1:14">
      <c r="A16" s="6" t="s">
        <v>166</v>
      </c>
      <c r="B16" s="281">
        <f>Baseline!J32</f>
        <v>40491.407184044234</v>
      </c>
      <c r="C16" s="281">
        <f>Baseline!K32</f>
        <v>42831.099166405227</v>
      </c>
      <c r="D16" s="281">
        <f>Baseline!L32</f>
        <v>45221.211699974061</v>
      </c>
      <c r="E16" s="281">
        <f>Baseline!M32</f>
        <v>47776.124905161938</v>
      </c>
      <c r="F16" s="281">
        <f>Baseline!N32</f>
        <v>50517.397285653293</v>
      </c>
      <c r="G16" s="281">
        <f>Baseline!O32</f>
        <v>53438.999426354909</v>
      </c>
      <c r="H16" s="281">
        <f>Baseline!P32</f>
        <v>56442.84598766367</v>
      </c>
      <c r="I16" s="281">
        <f>Baseline!Q32</f>
        <v>59657.080290029167</v>
      </c>
      <c r="J16" s="281">
        <f>Baseline!R32</f>
        <v>63055.54965748133</v>
      </c>
      <c r="K16" s="281">
        <f>Baseline!S32</f>
        <v>66648.888814944497</v>
      </c>
      <c r="L16" s="300"/>
      <c r="N16" s="269">
        <f>K16/(SUM(K4:K13)+K16)</f>
        <v>8.4731803434529504E-2</v>
      </c>
    </row>
    <row r="17" spans="1:11">
      <c r="A17" s="212" t="s">
        <v>218</v>
      </c>
      <c r="B17" s="13">
        <v>0</v>
      </c>
      <c r="C17" s="13">
        <v>0</v>
      </c>
      <c r="D17" s="13">
        <v>0</v>
      </c>
      <c r="E17" s="13">
        <v>0</v>
      </c>
      <c r="F17" s="13">
        <v>0</v>
      </c>
      <c r="G17" s="13">
        <v>0</v>
      </c>
      <c r="H17" s="13">
        <v>0</v>
      </c>
      <c r="I17" s="13">
        <v>0</v>
      </c>
      <c r="J17" s="13">
        <v>0</v>
      </c>
      <c r="K17" s="13">
        <v>0</v>
      </c>
    </row>
    <row r="18" spans="1:11">
      <c r="A18" s="211" t="s">
        <v>276</v>
      </c>
      <c r="B18" s="13">
        <v>0</v>
      </c>
      <c r="C18" s="13">
        <v>0</v>
      </c>
      <c r="D18" s="13">
        <v>0</v>
      </c>
      <c r="E18" s="13">
        <v>0</v>
      </c>
      <c r="F18" s="13">
        <v>0</v>
      </c>
      <c r="G18" s="13">
        <v>0</v>
      </c>
      <c r="H18" s="13">
        <v>0</v>
      </c>
      <c r="I18" s="13">
        <v>0</v>
      </c>
      <c r="J18" s="13">
        <v>0</v>
      </c>
      <c r="K18" s="13">
        <v>0</v>
      </c>
    </row>
    <row r="19" spans="1:11">
      <c r="A19" s="6" t="s">
        <v>98</v>
      </c>
      <c r="B19" s="13">
        <f>SUM(B4:B18)</f>
        <v>517006.26873315347</v>
      </c>
      <c r="C19" s="13">
        <f t="shared" ref="C19:K19" si="0">SUM(C4:C18)</f>
        <v>546090.46152034868</v>
      </c>
      <c r="D19" s="13">
        <f t="shared" si="0"/>
        <v>576298.04936017655</v>
      </c>
      <c r="E19" s="13">
        <f t="shared" si="0"/>
        <v>609310.48979357863</v>
      </c>
      <c r="F19" s="13">
        <f t="shared" si="0"/>
        <v>644714.88226706709</v>
      </c>
      <c r="G19" s="13">
        <f t="shared" si="0"/>
        <v>681412.22519367852</v>
      </c>
      <c r="H19" s="13">
        <f t="shared" si="0"/>
        <v>719977.67431626492</v>
      </c>
      <c r="I19" s="13">
        <f t="shared" si="0"/>
        <v>761045.12888869026</v>
      </c>
      <c r="J19" s="13">
        <f t="shared" si="0"/>
        <v>804479.8784858525</v>
      </c>
      <c r="K19" s="13">
        <f t="shared" si="0"/>
        <v>850419.66799315054</v>
      </c>
    </row>
    <row r="20" spans="1:11">
      <c r="A20" s="210" t="s">
        <v>340</v>
      </c>
    </row>
    <row r="21" spans="1:11">
      <c r="A21" t="s">
        <v>4</v>
      </c>
      <c r="B21" s="88">
        <f>B4*UF_Assumptions_1!$B4</f>
        <v>160982.18472241759</v>
      </c>
      <c r="C21" s="88">
        <f>C4*UF_Assumptions_1!$B4</f>
        <v>170537.49438363127</v>
      </c>
      <c r="D21" s="88">
        <f>D4*UF_Assumptions_1!$B4</f>
        <v>180460.89859002735</v>
      </c>
      <c r="E21" s="88">
        <f>E4*UF_Assumptions_1!$B4</f>
        <v>191373.94139189259</v>
      </c>
      <c r="F21" s="88">
        <f>F4*UF_Assumptions_1!$B4</f>
        <v>203564.86709807342</v>
      </c>
      <c r="G21" s="88">
        <f>G4*UF_Assumptions_1!$B4</f>
        <v>215643.69619095221</v>
      </c>
      <c r="H21" s="88">
        <f>H4*UF_Assumptions_1!$B4</f>
        <v>228436.04826394658</v>
      </c>
      <c r="I21" s="88">
        <f>I4*UF_Assumptions_1!$B4</f>
        <v>242268.17789218127</v>
      </c>
      <c r="J21" s="88">
        <f>J4*UF_Assumptions_1!$B4</f>
        <v>256937.80505709309</v>
      </c>
      <c r="K21" s="88">
        <f>K4*UF_Assumptions_1!$B4</f>
        <v>272495.63089666312</v>
      </c>
    </row>
    <row r="22" spans="1:11">
      <c r="A22" t="s">
        <v>5</v>
      </c>
      <c r="B22" s="88">
        <f>B5*UF_Assumptions_1!$B5</f>
        <v>118023.72967160547</v>
      </c>
      <c r="C22" s="88">
        <f>C5*UF_Assumptions_1!$B5</f>
        <v>124556.92987482675</v>
      </c>
      <c r="D22" s="88">
        <f>D5*UF_Assumptions_1!$B5</f>
        <v>131431.0340293771</v>
      </c>
      <c r="E22" s="88">
        <f>E5*UF_Assumptions_1!$B5</f>
        <v>139116.10603492125</v>
      </c>
      <c r="F22" s="88">
        <f>F5*UF_Assumptions_1!$B5</f>
        <v>146864.43291596879</v>
      </c>
      <c r="G22" s="88">
        <f>G5*UF_Assumptions_1!$B5</f>
        <v>155138.12273645093</v>
      </c>
      <c r="H22" s="88">
        <f>H5*UF_Assumptions_1!$B5</f>
        <v>163875.62518068371</v>
      </c>
      <c r="I22" s="88">
        <f>I5*UF_Assumptions_1!$B5</f>
        <v>173033.61858341735</v>
      </c>
      <c r="J22" s="88">
        <f>J5*UF_Assumptions_1!$B5</f>
        <v>182703.35446499128</v>
      </c>
      <c r="K22" s="88">
        <f>K5*UF_Assumptions_1!$B5</f>
        <v>192913.42384401843</v>
      </c>
    </row>
    <row r="23" spans="1:11">
      <c r="A23" t="s">
        <v>6</v>
      </c>
      <c r="B23" s="88">
        <f>B6*UF_Assumptions_1!$B6</f>
        <v>13439.558122078713</v>
      </c>
      <c r="C23" s="88">
        <f>C6*UF_Assumptions_1!$B6</f>
        <v>14183.50448014312</v>
      </c>
      <c r="D23" s="88">
        <f>D6*UF_Assumptions_1!$B6</f>
        <v>14966.27013734916</v>
      </c>
      <c r="E23" s="88">
        <f>E6*UF_Assumptions_1!$B6</f>
        <v>15781.490247081609</v>
      </c>
      <c r="F23" s="88">
        <f>F6*UF_Assumptions_1!$B6</f>
        <v>16644.677400163378</v>
      </c>
      <c r="G23" s="88">
        <f>G6*UF_Assumptions_1!$B6</f>
        <v>17565.714627498208</v>
      </c>
      <c r="H23" s="88">
        <f>H6*UF_Assumptions_1!$B6</f>
        <v>18519.887542642082</v>
      </c>
      <c r="I23" s="88">
        <f>I6*UF_Assumptions_1!$B6</f>
        <v>19530.151055276874</v>
      </c>
      <c r="J23" s="88">
        <f>J6*UF_Assumptions_1!$B6</f>
        <v>20595.520015831</v>
      </c>
      <c r="K23" s="88">
        <f>K6*UF_Assumptions_1!$B6</f>
        <v>21718.999649898433</v>
      </c>
    </row>
    <row r="24" spans="1:11">
      <c r="A24" t="s">
        <v>7</v>
      </c>
      <c r="B24" s="88">
        <f>B7*UF_Assumptions_1!$B7</f>
        <v>21100.962858310875</v>
      </c>
      <c r="C24" s="88">
        <f>C7*UF_Assumptions_1!$B7</f>
        <v>22036.81736915317</v>
      </c>
      <c r="D24" s="88">
        <f>D7*UF_Assumptions_1!$B7</f>
        <v>23010.546917063853</v>
      </c>
      <c r="E24" s="88">
        <f>E7*UF_Assumptions_1!$B7</f>
        <v>24033.734561735277</v>
      </c>
      <c r="F24" s="88">
        <f>F7*UF_Assumptions_1!$B7</f>
        <v>25107.791824125557</v>
      </c>
      <c r="G24" s="88">
        <f>G7*UF_Assumptions_1!$B7</f>
        <v>26195.748281692882</v>
      </c>
      <c r="H24" s="88">
        <f>H7*UF_Assumptions_1!$B7</f>
        <v>27330.465477283084</v>
      </c>
      <c r="I24" s="88">
        <f>I7*UF_Assumptions_1!$B7</f>
        <v>28520.650794095211</v>
      </c>
      <c r="J24" s="88">
        <f>J7*UF_Assumptions_1!$B7</f>
        <v>29762.659538425327</v>
      </c>
      <c r="K24" s="88">
        <f>K7*UF_Assumptions_1!$B7</f>
        <v>31058.747526911873</v>
      </c>
    </row>
    <row r="25" spans="1:11">
      <c r="A25" t="s">
        <v>8</v>
      </c>
      <c r="B25" s="88">
        <f>B8*UF_Assumptions_1!$B8</f>
        <v>28689.635954420595</v>
      </c>
      <c r="C25" s="88">
        <f>C8*UF_Assumptions_1!$B8</f>
        <v>30335.148515759727</v>
      </c>
      <c r="D25" s="88">
        <f>D8*UF_Assumptions_1!$B8</f>
        <v>31948.617271280385</v>
      </c>
      <c r="E25" s="88">
        <f>E8*UF_Assumptions_1!$B8</f>
        <v>33784.762834506182</v>
      </c>
      <c r="F25" s="88">
        <f>F8*UF_Assumptions_1!$B8</f>
        <v>35734.081370261993</v>
      </c>
      <c r="G25" s="88">
        <f>G8*UF_Assumptions_1!$B8</f>
        <v>37782.926230403427</v>
      </c>
      <c r="H25" s="88">
        <f>H8*UF_Assumptions_1!$B8</f>
        <v>39910.890682114885</v>
      </c>
      <c r="I25" s="88">
        <f>I8*UF_Assumptions_1!$B8</f>
        <v>42181.182194971159</v>
      </c>
      <c r="J25" s="88">
        <f>J8*UF_Assumptions_1!$B8</f>
        <v>44580.606980834782</v>
      </c>
      <c r="K25" s="88">
        <f>K8*UF_Assumptions_1!$B8</f>
        <v>47116.508905555907</v>
      </c>
    </row>
    <row r="26" spans="1:11">
      <c r="A26" t="s">
        <v>9</v>
      </c>
      <c r="B26" s="88">
        <f>B9*UF_Assumptions_1!$B9</f>
        <v>18890.513495020728</v>
      </c>
      <c r="C26" s="88">
        <f>C9*UF_Assumptions_1!$B9</f>
        <v>20257.444114574424</v>
      </c>
      <c r="D26" s="88">
        <f>D9*UF_Assumptions_1!$B9</f>
        <v>21679.33703796404</v>
      </c>
      <c r="E26" s="88">
        <f>E9*UF_Assumptions_1!$B9</f>
        <v>23228.934455282229</v>
      </c>
      <c r="F26" s="88">
        <f>F9*UF_Assumptions_1!$B9</f>
        <v>24871.376757942187</v>
      </c>
      <c r="G26" s="88">
        <f>G9*UF_Assumptions_1!$B9</f>
        <v>26670.588132498688</v>
      </c>
      <c r="H26" s="88">
        <f>H9*UF_Assumptions_1!$B9</f>
        <v>28599.55590900161</v>
      </c>
      <c r="I26" s="88">
        <f>I9*UF_Assumptions_1!$B9</f>
        <v>30645.959770397174</v>
      </c>
      <c r="J26" s="88">
        <f>J9*UF_Assumptions_1!$B9</f>
        <v>32838.784011304626</v>
      </c>
      <c r="K26" s="88">
        <f>K9*UF_Assumptions_1!$B9</f>
        <v>35188.504037067403</v>
      </c>
    </row>
    <row r="27" spans="1:11">
      <c r="A27" t="s">
        <v>10</v>
      </c>
      <c r="B27" s="88">
        <f>B10*UF_Assumptions_1!$B10</f>
        <v>19314.903208446871</v>
      </c>
      <c r="C27" s="88">
        <f>C10*UF_Assumptions_1!$B10</f>
        <v>20248.829312751863</v>
      </c>
      <c r="D27" s="88">
        <f>D10*UF_Assumptions_1!$B10</f>
        <v>21163.806395663054</v>
      </c>
      <c r="E27" s="88">
        <f>E10*UF_Assumptions_1!$B10</f>
        <v>22126.050076564541</v>
      </c>
      <c r="F27" s="88">
        <f>F10*UF_Assumptions_1!$B10</f>
        <v>23181.275733174672</v>
      </c>
      <c r="G27" s="88">
        <f>G10*UF_Assumptions_1!$B10</f>
        <v>24324.88535007407</v>
      </c>
      <c r="H27" s="88">
        <f>H10*UF_Assumptions_1!$B10</f>
        <v>25597.553137678322</v>
      </c>
      <c r="I27" s="88">
        <f>I10*UF_Assumptions_1!$B10</f>
        <v>26865.890611128772</v>
      </c>
      <c r="J27" s="88">
        <f>J10*UF_Assumptions_1!$B10</f>
        <v>28197.066818839965</v>
      </c>
      <c r="K27" s="88">
        <f>K10*UF_Assumptions_1!$B10</f>
        <v>29594.194354944852</v>
      </c>
    </row>
    <row r="28" spans="1:11">
      <c r="A28" t="s">
        <v>18</v>
      </c>
      <c r="B28" s="88">
        <f>B11*UF_Assumptions_1!$B11</f>
        <v>44019.592960460352</v>
      </c>
      <c r="C28" s="88">
        <f>C11*UF_Assumptions_1!$B11</f>
        <v>46588.399490469084</v>
      </c>
      <c r="D28" s="88">
        <f>D11*UF_Assumptions_1!$B11</f>
        <v>49345.928028678936</v>
      </c>
      <c r="E28" s="88">
        <f>E11*UF_Assumptions_1!$B11</f>
        <v>52231.296867792182</v>
      </c>
      <c r="F28" s="88">
        <f>F11*UF_Assumptions_1!$B11</f>
        <v>55401.743800516408</v>
      </c>
      <c r="G28" s="88">
        <f>G11*UF_Assumptions_1!$B11</f>
        <v>58744.509361278768</v>
      </c>
      <c r="H28" s="88">
        <f>H11*UF_Assumptions_1!$B11</f>
        <v>62229.333909265348</v>
      </c>
      <c r="I28" s="88">
        <f>I11*UF_Assumptions_1!$B11</f>
        <v>65955.914375606124</v>
      </c>
      <c r="J28" s="88">
        <f>J11*UF_Assumptions_1!$B11</f>
        <v>69905.644023707253</v>
      </c>
      <c r="K28" s="88">
        <f>K11*UF_Assumptions_1!$B11</f>
        <v>74091.883214033864</v>
      </c>
    </row>
    <row r="29" spans="1:11">
      <c r="A29" t="s">
        <v>16</v>
      </c>
      <c r="B29" s="88">
        <f>B12*UF_Assumptions_1!$B12</f>
        <v>9637.1769998811087</v>
      </c>
      <c r="C29" s="88">
        <f>C12*UF_Assumptions_1!$B12</f>
        <v>10083.87888270471</v>
      </c>
      <c r="D29" s="88">
        <f>D12*UF_Assumptions_1!$B12</f>
        <v>10559.707107985336</v>
      </c>
      <c r="E29" s="88">
        <f>E12*UF_Assumptions_1!$B12</f>
        <v>11060.948612131126</v>
      </c>
      <c r="F29" s="88">
        <f>F12*UF_Assumptions_1!$B12</f>
        <v>11588.462412451476</v>
      </c>
      <c r="G29" s="88">
        <f>G12*UF_Assumptions_1!$B12</f>
        <v>12148.56775369268</v>
      </c>
      <c r="H29" s="88">
        <f>H12*UF_Assumptions_1!$B12</f>
        <v>12735.566684289943</v>
      </c>
      <c r="I29" s="88">
        <f>I12*UF_Assumptions_1!$B12</f>
        <v>13345.373113401587</v>
      </c>
      <c r="J29" s="88">
        <f>J12*UF_Assumptions_1!$B12</f>
        <v>13984.375250099914</v>
      </c>
      <c r="K29" s="88">
        <f>K12*UF_Assumptions_1!$B12</f>
        <v>14653.970556324568</v>
      </c>
    </row>
    <row r="30" spans="1:11">
      <c r="A30" t="s">
        <v>11</v>
      </c>
      <c r="B30" s="88">
        <f>B13*UF_Assumptions_1!$B13</f>
        <v>5662.4045128174339</v>
      </c>
      <c r="C30" s="88">
        <f>C13*UF_Assumptions_1!$B13</f>
        <v>5998.5039926469553</v>
      </c>
      <c r="D30" s="88">
        <f>D13*UF_Assumptions_1!$B13</f>
        <v>6353.5504447079193</v>
      </c>
      <c r="E30" s="88">
        <f>E13*UF_Assumptions_1!$B13</f>
        <v>6731.4134014116889</v>
      </c>
      <c r="F30" s="88">
        <f>F13*UF_Assumptions_1!$B13</f>
        <v>7133.2752648964624</v>
      </c>
      <c r="G30" s="88">
        <f>G13*UF_Assumptions_1!$B13</f>
        <v>7570.8100191406356</v>
      </c>
      <c r="H30" s="88">
        <f>H13*UF_Assumptions_1!$B13</f>
        <v>7997.2040600137425</v>
      </c>
      <c r="I30" s="88">
        <f>I13*UF_Assumptions_1!$B13</f>
        <v>8468.1147953519812</v>
      </c>
      <c r="J30" s="88">
        <f>J13*UF_Assumptions_1!$B13</f>
        <v>8966.7528230695734</v>
      </c>
      <c r="K30" s="88">
        <f>K13*UF_Assumptions_1!$B13</f>
        <v>9494.7504879452099</v>
      </c>
    </row>
    <row r="31" spans="1:11">
      <c r="A31" t="s">
        <v>13</v>
      </c>
      <c r="B31" s="88">
        <f>B14</f>
        <v>13015.934321462773</v>
      </c>
      <c r="C31" s="88">
        <f t="shared" ref="C31:K32" si="1">C14</f>
        <v>13476.024721270978</v>
      </c>
      <c r="D31" s="88">
        <f t="shared" si="1"/>
        <v>13923.220163679234</v>
      </c>
      <c r="E31" s="88">
        <f t="shared" si="1"/>
        <v>14458.753862211928</v>
      </c>
      <c r="F31" s="88">
        <f t="shared" si="1"/>
        <v>15047.036138730071</v>
      </c>
      <c r="G31" s="88">
        <f t="shared" si="1"/>
        <v>15608.734786912868</v>
      </c>
      <c r="H31" s="88">
        <f t="shared" si="1"/>
        <v>16159.948137089295</v>
      </c>
      <c r="I31" s="88">
        <f t="shared" si="1"/>
        <v>16766.700865673727</v>
      </c>
      <c r="J31" s="88">
        <f t="shared" si="1"/>
        <v>17396.231249972214</v>
      </c>
      <c r="K31" s="88">
        <f t="shared" si="1"/>
        <v>18049.393987394586</v>
      </c>
    </row>
    <row r="32" spans="1:11">
      <c r="A32" s="6" t="s">
        <v>71</v>
      </c>
      <c r="B32" s="88">
        <f>B15</f>
        <v>28791.565066927964</v>
      </c>
      <c r="C32" s="88">
        <f t="shared" si="1"/>
        <v>30298.917575967578</v>
      </c>
      <c r="D32" s="88">
        <f t="shared" si="1"/>
        <v>31880.154947029732</v>
      </c>
      <c r="E32" s="88">
        <f t="shared" si="1"/>
        <v>33584.788311616554</v>
      </c>
      <c r="F32" s="88">
        <f t="shared" si="1"/>
        <v>35388.140800757341</v>
      </c>
      <c r="G32" s="88">
        <f t="shared" si="1"/>
        <v>37275.55331184082</v>
      </c>
      <c r="H32" s="88">
        <f t="shared" si="1"/>
        <v>39225.794609276592</v>
      </c>
      <c r="I32" s="88">
        <f t="shared" si="1"/>
        <v>41300.179658613044</v>
      </c>
      <c r="J32" s="88">
        <f t="shared" si="1"/>
        <v>43484.255035020928</v>
      </c>
      <c r="K32" s="88">
        <f t="shared" si="1"/>
        <v>45783.819883571348</v>
      </c>
    </row>
    <row r="33" spans="1:16">
      <c r="A33" s="6" t="s">
        <v>166</v>
      </c>
      <c r="B33" s="88">
        <f>B16*(SUM(B21:B30)/SUM(B4:B13))</f>
        <v>40962.103702421904</v>
      </c>
      <c r="C33" s="88">
        <f t="shared" ref="C33:K33" si="2">C16*(SUM(C21:C30)/SUM(C4:C13))</f>
        <v>43329.106144788893</v>
      </c>
      <c r="D33" s="88">
        <f t="shared" si="2"/>
        <v>45747.367643113699</v>
      </c>
      <c r="E33" s="88">
        <f t="shared" si="2"/>
        <v>48332.315534552516</v>
      </c>
      <c r="F33" s="88">
        <f t="shared" si="2"/>
        <v>51105.446106823787</v>
      </c>
      <c r="G33" s="88">
        <f t="shared" si="2"/>
        <v>54061.270587448518</v>
      </c>
      <c r="H33" s="88">
        <f t="shared" si="2"/>
        <v>57100.229584015622</v>
      </c>
      <c r="I33" s="88">
        <f t="shared" si="2"/>
        <v>60352.008631925295</v>
      </c>
      <c r="J33" s="88">
        <f t="shared" si="2"/>
        <v>63790.183008862768</v>
      </c>
      <c r="K33" s="88">
        <f t="shared" si="2"/>
        <v>67425.512741004786</v>
      </c>
      <c r="N33" s="269">
        <f>K33/(SUM(K21:K30)+K33)</f>
        <v>8.4731803434529504E-2</v>
      </c>
    </row>
    <row r="34" spans="1:16">
      <c r="A34" s="212" t="s">
        <v>218</v>
      </c>
      <c r="B34" s="88">
        <f>B17</f>
        <v>0</v>
      </c>
      <c r="C34" s="88">
        <f t="shared" ref="C34:K35" si="3">C17</f>
        <v>0</v>
      </c>
      <c r="D34" s="88">
        <f t="shared" si="3"/>
        <v>0</v>
      </c>
      <c r="E34" s="88">
        <f t="shared" si="3"/>
        <v>0</v>
      </c>
      <c r="F34" s="88">
        <f t="shared" si="3"/>
        <v>0</v>
      </c>
      <c r="G34" s="88">
        <f t="shared" si="3"/>
        <v>0</v>
      </c>
      <c r="H34" s="88">
        <f t="shared" si="3"/>
        <v>0</v>
      </c>
      <c r="I34" s="88">
        <f t="shared" si="3"/>
        <v>0</v>
      </c>
      <c r="J34" s="88">
        <f t="shared" si="3"/>
        <v>0</v>
      </c>
      <c r="K34" s="88">
        <f t="shared" si="3"/>
        <v>0</v>
      </c>
    </row>
    <row r="35" spans="1:16">
      <c r="A35" s="211" t="s">
        <v>276</v>
      </c>
      <c r="B35" s="88">
        <f>B18</f>
        <v>0</v>
      </c>
      <c r="C35" s="88">
        <f t="shared" si="3"/>
        <v>0</v>
      </c>
      <c r="D35" s="88">
        <f t="shared" si="3"/>
        <v>0</v>
      </c>
      <c r="E35" s="88">
        <f t="shared" si="3"/>
        <v>0</v>
      </c>
      <c r="F35" s="88">
        <f t="shared" si="3"/>
        <v>0</v>
      </c>
      <c r="G35" s="88">
        <f t="shared" si="3"/>
        <v>0</v>
      </c>
      <c r="H35" s="88">
        <f t="shared" si="3"/>
        <v>0</v>
      </c>
      <c r="I35" s="88">
        <f t="shared" si="3"/>
        <v>0</v>
      </c>
      <c r="J35" s="88">
        <f t="shared" si="3"/>
        <v>0</v>
      </c>
      <c r="K35" s="88">
        <f t="shared" si="3"/>
        <v>0</v>
      </c>
    </row>
    <row r="36" spans="1:16">
      <c r="A36" s="6" t="s">
        <v>98</v>
      </c>
      <c r="B36" s="88">
        <f>SUM(B21:B35)</f>
        <v>522530.26559627242</v>
      </c>
      <c r="C36" s="88">
        <f t="shared" ref="C36:K36" si="4">SUM(C21:C35)</f>
        <v>551930.9988586884</v>
      </c>
      <c r="D36" s="88">
        <f t="shared" si="4"/>
        <v>582470.43871391972</v>
      </c>
      <c r="E36" s="88">
        <f t="shared" si="4"/>
        <v>615844.53619169968</v>
      </c>
      <c r="F36" s="88">
        <f t="shared" si="4"/>
        <v>651632.6076238855</v>
      </c>
      <c r="G36" s="88">
        <f t="shared" si="4"/>
        <v>688731.12736988463</v>
      </c>
      <c r="H36" s="88">
        <f t="shared" si="4"/>
        <v>727718.10317730077</v>
      </c>
      <c r="I36" s="88">
        <f t="shared" si="4"/>
        <v>769233.92234203953</v>
      </c>
      <c r="J36" s="88">
        <f t="shared" si="4"/>
        <v>813143.23827805277</v>
      </c>
      <c r="K36" s="88">
        <f t="shared" si="4"/>
        <v>859585.34008533449</v>
      </c>
      <c r="L36" s="56">
        <f>(B36-B19)/$B$19</f>
        <v>1.0684583915500064E-2</v>
      </c>
      <c r="M36" s="56">
        <f>(K36-K19)/$K$19</f>
        <v>1.0777822335428138E-2</v>
      </c>
      <c r="P36" s="269"/>
    </row>
    <row r="37" spans="1:16">
      <c r="A37" s="210" t="s">
        <v>339</v>
      </c>
    </row>
    <row r="38" spans="1:16">
      <c r="A38" t="s">
        <v>4</v>
      </c>
      <c r="B38" s="88">
        <f>B21</f>
        <v>160982.18472241759</v>
      </c>
      <c r="C38" s="88">
        <f t="shared" ref="C38:K38" si="5">C21</f>
        <v>170537.49438363127</v>
      </c>
      <c r="D38" s="88">
        <f t="shared" si="5"/>
        <v>180460.89859002735</v>
      </c>
      <c r="E38" s="88">
        <f t="shared" si="5"/>
        <v>191373.94139189259</v>
      </c>
      <c r="F38" s="88">
        <f t="shared" si="5"/>
        <v>203564.86709807342</v>
      </c>
      <c r="G38" s="88">
        <f t="shared" si="5"/>
        <v>215643.69619095221</v>
      </c>
      <c r="H38" s="88">
        <f t="shared" si="5"/>
        <v>228436.04826394658</v>
      </c>
      <c r="I38" s="88">
        <f t="shared" si="5"/>
        <v>242268.17789218127</v>
      </c>
      <c r="J38" s="88">
        <f t="shared" si="5"/>
        <v>256937.80505709309</v>
      </c>
      <c r="K38" s="88">
        <f t="shared" si="5"/>
        <v>272495.63089666312</v>
      </c>
    </row>
    <row r="39" spans="1:16">
      <c r="A39" t="s">
        <v>5</v>
      </c>
      <c r="B39" s="88">
        <f t="shared" ref="B39:K52" si="6">B22</f>
        <v>118023.72967160547</v>
      </c>
      <c r="C39" s="88">
        <f t="shared" si="6"/>
        <v>124556.92987482675</v>
      </c>
      <c r="D39" s="88">
        <f t="shared" si="6"/>
        <v>131431.0340293771</v>
      </c>
      <c r="E39" s="88">
        <f t="shared" si="6"/>
        <v>139116.10603492125</v>
      </c>
      <c r="F39" s="88">
        <f t="shared" si="6"/>
        <v>146864.43291596879</v>
      </c>
      <c r="G39" s="88">
        <f t="shared" si="6"/>
        <v>155138.12273645093</v>
      </c>
      <c r="H39" s="88">
        <f t="shared" si="6"/>
        <v>163875.62518068371</v>
      </c>
      <c r="I39" s="88">
        <f t="shared" si="6"/>
        <v>173033.61858341735</v>
      </c>
      <c r="J39" s="88">
        <f t="shared" si="6"/>
        <v>182703.35446499128</v>
      </c>
      <c r="K39" s="88">
        <f t="shared" si="6"/>
        <v>192913.42384401843</v>
      </c>
    </row>
    <row r="40" spans="1:16">
      <c r="A40" t="s">
        <v>6</v>
      </c>
      <c r="B40" s="88">
        <f t="shared" si="6"/>
        <v>13439.558122078713</v>
      </c>
      <c r="C40" s="88">
        <f t="shared" si="6"/>
        <v>14183.50448014312</v>
      </c>
      <c r="D40" s="88">
        <f t="shared" si="6"/>
        <v>14966.27013734916</v>
      </c>
      <c r="E40" s="88">
        <f t="shared" si="6"/>
        <v>15781.490247081609</v>
      </c>
      <c r="F40" s="88">
        <f t="shared" si="6"/>
        <v>16644.677400163378</v>
      </c>
      <c r="G40" s="88">
        <f t="shared" si="6"/>
        <v>17565.714627498208</v>
      </c>
      <c r="H40" s="88">
        <f t="shared" si="6"/>
        <v>18519.887542642082</v>
      </c>
      <c r="I40" s="88">
        <f t="shared" si="6"/>
        <v>19530.151055276874</v>
      </c>
      <c r="J40" s="88">
        <f t="shared" si="6"/>
        <v>20595.520015831</v>
      </c>
      <c r="K40" s="88">
        <f t="shared" si="6"/>
        <v>21718.999649898433</v>
      </c>
    </row>
    <row r="41" spans="1:16">
      <c r="A41" t="s">
        <v>7</v>
      </c>
      <c r="B41" s="88">
        <f>B24*UF_Assumptions_1!$C$7</f>
        <v>22578.030258392639</v>
      </c>
      <c r="C41" s="88">
        <f>C24*UF_Assumptions_1!$C$7</f>
        <v>23579.394584993894</v>
      </c>
      <c r="D41" s="88">
        <f>D24*UF_Assumptions_1!$C$7</f>
        <v>24621.285201258324</v>
      </c>
      <c r="E41" s="88">
        <f>E24*UF_Assumptions_1!$C$7</f>
        <v>25716.095981056747</v>
      </c>
      <c r="F41" s="88">
        <f>F24*UF_Assumptions_1!$C$7</f>
        <v>26865.337251814348</v>
      </c>
      <c r="G41" s="88">
        <f>G24*UF_Assumptions_1!$C$7</f>
        <v>28029.450661411385</v>
      </c>
      <c r="H41" s="88">
        <f>H24*UF_Assumptions_1!$C$7</f>
        <v>29243.598060692901</v>
      </c>
      <c r="I41" s="88">
        <f>I24*UF_Assumptions_1!$C$7</f>
        <v>30517.096349681877</v>
      </c>
      <c r="J41" s="88">
        <f>J24*UF_Assumptions_1!$C$7</f>
        <v>31846.045706115103</v>
      </c>
      <c r="K41" s="88">
        <f>K24*UF_Assumptions_1!$C$7</f>
        <v>33232.859853795708</v>
      </c>
    </row>
    <row r="42" spans="1:16">
      <c r="A42" t="s">
        <v>8</v>
      </c>
      <c r="B42" s="88">
        <f t="shared" si="6"/>
        <v>28689.635954420595</v>
      </c>
      <c r="C42" s="88">
        <f t="shared" si="6"/>
        <v>30335.148515759727</v>
      </c>
      <c r="D42" s="88">
        <f t="shared" si="6"/>
        <v>31948.617271280385</v>
      </c>
      <c r="E42" s="88">
        <f t="shared" si="6"/>
        <v>33784.762834506182</v>
      </c>
      <c r="F42" s="88">
        <f t="shared" si="6"/>
        <v>35734.081370261993</v>
      </c>
      <c r="G42" s="88">
        <f t="shared" si="6"/>
        <v>37782.926230403427</v>
      </c>
      <c r="H42" s="88">
        <f t="shared" si="6"/>
        <v>39910.890682114885</v>
      </c>
      <c r="I42" s="88">
        <f t="shared" si="6"/>
        <v>42181.182194971159</v>
      </c>
      <c r="J42" s="88">
        <f t="shared" si="6"/>
        <v>44580.606980834782</v>
      </c>
      <c r="K42" s="88">
        <f t="shared" si="6"/>
        <v>47116.508905555907</v>
      </c>
    </row>
    <row r="43" spans="1:16">
      <c r="A43" t="s">
        <v>9</v>
      </c>
      <c r="B43" s="88">
        <f t="shared" si="6"/>
        <v>18890.513495020728</v>
      </c>
      <c r="C43" s="88">
        <f t="shared" si="6"/>
        <v>20257.444114574424</v>
      </c>
      <c r="D43" s="88">
        <f t="shared" si="6"/>
        <v>21679.33703796404</v>
      </c>
      <c r="E43" s="88">
        <f t="shared" si="6"/>
        <v>23228.934455282229</v>
      </c>
      <c r="F43" s="88">
        <f t="shared" si="6"/>
        <v>24871.376757942187</v>
      </c>
      <c r="G43" s="88">
        <f t="shared" si="6"/>
        <v>26670.588132498688</v>
      </c>
      <c r="H43" s="88">
        <f t="shared" si="6"/>
        <v>28599.55590900161</v>
      </c>
      <c r="I43" s="88">
        <f t="shared" si="6"/>
        <v>30645.959770397174</v>
      </c>
      <c r="J43" s="88">
        <f t="shared" si="6"/>
        <v>32838.784011304626</v>
      </c>
      <c r="K43" s="88">
        <f t="shared" si="6"/>
        <v>35188.504037067403</v>
      </c>
    </row>
    <row r="44" spans="1:16">
      <c r="A44" t="s">
        <v>10</v>
      </c>
      <c r="B44" s="88">
        <f t="shared" si="6"/>
        <v>19314.903208446871</v>
      </c>
      <c r="C44" s="88">
        <f t="shared" si="6"/>
        <v>20248.829312751863</v>
      </c>
      <c r="D44" s="88">
        <f t="shared" si="6"/>
        <v>21163.806395663054</v>
      </c>
      <c r="E44" s="88">
        <f t="shared" si="6"/>
        <v>22126.050076564541</v>
      </c>
      <c r="F44" s="88">
        <f t="shared" si="6"/>
        <v>23181.275733174672</v>
      </c>
      <c r="G44" s="88">
        <f t="shared" si="6"/>
        <v>24324.88535007407</v>
      </c>
      <c r="H44" s="88">
        <f t="shared" si="6"/>
        <v>25597.553137678322</v>
      </c>
      <c r="I44" s="88">
        <f t="shared" si="6"/>
        <v>26865.890611128772</v>
      </c>
      <c r="J44" s="88">
        <f t="shared" si="6"/>
        <v>28197.066818839965</v>
      </c>
      <c r="K44" s="88">
        <f t="shared" si="6"/>
        <v>29594.194354944852</v>
      </c>
    </row>
    <row r="45" spans="1:16">
      <c r="A45" t="s">
        <v>18</v>
      </c>
      <c r="B45" s="88">
        <f t="shared" si="6"/>
        <v>44019.592960460352</v>
      </c>
      <c r="C45" s="88">
        <f t="shared" si="6"/>
        <v>46588.399490469084</v>
      </c>
      <c r="D45" s="88">
        <f t="shared" si="6"/>
        <v>49345.928028678936</v>
      </c>
      <c r="E45" s="88">
        <f t="shared" si="6"/>
        <v>52231.296867792182</v>
      </c>
      <c r="F45" s="88">
        <f t="shared" si="6"/>
        <v>55401.743800516408</v>
      </c>
      <c r="G45" s="88">
        <f t="shared" si="6"/>
        <v>58744.509361278768</v>
      </c>
      <c r="H45" s="88">
        <f t="shared" si="6"/>
        <v>62229.333909265348</v>
      </c>
      <c r="I45" s="88">
        <f t="shared" si="6"/>
        <v>65955.914375606124</v>
      </c>
      <c r="J45" s="88">
        <f t="shared" si="6"/>
        <v>69905.644023707253</v>
      </c>
      <c r="K45" s="88">
        <f t="shared" si="6"/>
        <v>74091.883214033864</v>
      </c>
    </row>
    <row r="46" spans="1:16">
      <c r="A46" t="s">
        <v>16</v>
      </c>
      <c r="B46" s="88">
        <f t="shared" si="6"/>
        <v>9637.1769998811087</v>
      </c>
      <c r="C46" s="88">
        <f t="shared" si="6"/>
        <v>10083.87888270471</v>
      </c>
      <c r="D46" s="88">
        <f t="shared" si="6"/>
        <v>10559.707107985336</v>
      </c>
      <c r="E46" s="88">
        <f t="shared" si="6"/>
        <v>11060.948612131126</v>
      </c>
      <c r="F46" s="88">
        <f t="shared" si="6"/>
        <v>11588.462412451476</v>
      </c>
      <c r="G46" s="88">
        <f t="shared" si="6"/>
        <v>12148.56775369268</v>
      </c>
      <c r="H46" s="88">
        <f t="shared" si="6"/>
        <v>12735.566684289943</v>
      </c>
      <c r="I46" s="88">
        <f t="shared" si="6"/>
        <v>13345.373113401587</v>
      </c>
      <c r="J46" s="88">
        <f t="shared" si="6"/>
        <v>13984.375250099914</v>
      </c>
      <c r="K46" s="88">
        <f t="shared" si="6"/>
        <v>14653.970556324568</v>
      </c>
    </row>
    <row r="47" spans="1:16">
      <c r="A47" t="s">
        <v>11</v>
      </c>
      <c r="B47" s="88">
        <f t="shared" si="6"/>
        <v>5662.4045128174339</v>
      </c>
      <c r="C47" s="88">
        <f t="shared" si="6"/>
        <v>5998.5039926469553</v>
      </c>
      <c r="D47" s="88">
        <f t="shared" si="6"/>
        <v>6353.5504447079193</v>
      </c>
      <c r="E47" s="88">
        <f t="shared" si="6"/>
        <v>6731.4134014116889</v>
      </c>
      <c r="F47" s="88">
        <f t="shared" si="6"/>
        <v>7133.2752648964624</v>
      </c>
      <c r="G47" s="88">
        <f t="shared" si="6"/>
        <v>7570.8100191406356</v>
      </c>
      <c r="H47" s="88">
        <f t="shared" si="6"/>
        <v>7997.2040600137425</v>
      </c>
      <c r="I47" s="88">
        <f t="shared" si="6"/>
        <v>8468.1147953519812</v>
      </c>
      <c r="J47" s="88">
        <f t="shared" si="6"/>
        <v>8966.7528230695734</v>
      </c>
      <c r="K47" s="88">
        <f t="shared" si="6"/>
        <v>9494.7504879452099</v>
      </c>
    </row>
    <row r="48" spans="1:16">
      <c r="A48" t="s">
        <v>13</v>
      </c>
      <c r="B48" s="88">
        <f t="shared" si="6"/>
        <v>13015.934321462773</v>
      </c>
      <c r="C48" s="88">
        <f t="shared" si="6"/>
        <v>13476.024721270978</v>
      </c>
      <c r="D48" s="88">
        <f t="shared" si="6"/>
        <v>13923.220163679234</v>
      </c>
      <c r="E48" s="88">
        <f t="shared" si="6"/>
        <v>14458.753862211928</v>
      </c>
      <c r="F48" s="88">
        <f t="shared" si="6"/>
        <v>15047.036138730071</v>
      </c>
      <c r="G48" s="88">
        <f t="shared" si="6"/>
        <v>15608.734786912868</v>
      </c>
      <c r="H48" s="88">
        <f t="shared" si="6"/>
        <v>16159.948137089295</v>
      </c>
      <c r="I48" s="88">
        <f t="shared" si="6"/>
        <v>16766.700865673727</v>
      </c>
      <c r="J48" s="88">
        <f t="shared" si="6"/>
        <v>17396.231249972214</v>
      </c>
      <c r="K48" s="88">
        <f t="shared" si="6"/>
        <v>18049.393987394586</v>
      </c>
    </row>
    <row r="49" spans="1:16">
      <c r="A49" s="6" t="s">
        <v>71</v>
      </c>
      <c r="B49" s="88">
        <f t="shared" si="6"/>
        <v>28791.565066927964</v>
      </c>
      <c r="C49" s="88">
        <f t="shared" si="6"/>
        <v>30298.917575967578</v>
      </c>
      <c r="D49" s="88">
        <f t="shared" si="6"/>
        <v>31880.154947029732</v>
      </c>
      <c r="E49" s="88">
        <f t="shared" si="6"/>
        <v>33584.788311616554</v>
      </c>
      <c r="F49" s="88">
        <f t="shared" si="6"/>
        <v>35388.140800757341</v>
      </c>
      <c r="G49" s="88">
        <f t="shared" si="6"/>
        <v>37275.55331184082</v>
      </c>
      <c r="H49" s="88">
        <f t="shared" si="6"/>
        <v>39225.794609276592</v>
      </c>
      <c r="I49" s="88">
        <f t="shared" si="6"/>
        <v>41300.179658613044</v>
      </c>
      <c r="J49" s="88">
        <f t="shared" si="6"/>
        <v>43484.255035020928</v>
      </c>
      <c r="K49" s="88">
        <f t="shared" si="6"/>
        <v>45783.819883571348</v>
      </c>
    </row>
    <row r="50" spans="1:16">
      <c r="A50" s="6" t="s">
        <v>166</v>
      </c>
      <c r="B50" s="88">
        <f>B33*(SUM(B38:B47)/SUM(B21:B30))</f>
        <v>41099.687149911049</v>
      </c>
      <c r="C50" s="88">
        <f t="shared" ref="C50:K50" si="7">C33*(SUM(C38:C47)/SUM(C21:C30))</f>
        <v>43472.898349310992</v>
      </c>
      <c r="D50" s="88">
        <f t="shared" si="7"/>
        <v>45897.467622948025</v>
      </c>
      <c r="E50" s="88">
        <f t="shared" si="7"/>
        <v>48488.845516685818</v>
      </c>
      <c r="F50" s="88">
        <f t="shared" si="7"/>
        <v>51268.728149924304</v>
      </c>
      <c r="G50" s="88">
        <f t="shared" si="7"/>
        <v>54231.663745792241</v>
      </c>
      <c r="H50" s="88">
        <f t="shared" si="7"/>
        <v>57277.789084341108</v>
      </c>
      <c r="I50" s="88">
        <f t="shared" si="7"/>
        <v>60537.144950633432</v>
      </c>
      <c r="J50" s="88">
        <f t="shared" si="7"/>
        <v>63983.218419280274</v>
      </c>
      <c r="K50" s="88">
        <f t="shared" si="7"/>
        <v>67626.783209068002</v>
      </c>
      <c r="N50" s="269">
        <f>K50/(SUM(K38:K47)+K50)</f>
        <v>8.4731803434529504E-2</v>
      </c>
    </row>
    <row r="51" spans="1:16">
      <c r="A51" s="212" t="s">
        <v>218</v>
      </c>
      <c r="B51" s="88">
        <f t="shared" si="6"/>
        <v>0</v>
      </c>
      <c r="C51" s="88">
        <f t="shared" si="6"/>
        <v>0</v>
      </c>
      <c r="D51" s="88">
        <f t="shared" si="6"/>
        <v>0</v>
      </c>
      <c r="E51" s="88">
        <f t="shared" si="6"/>
        <v>0</v>
      </c>
      <c r="F51" s="88">
        <f t="shared" si="6"/>
        <v>0</v>
      </c>
      <c r="G51" s="88">
        <f t="shared" si="6"/>
        <v>0</v>
      </c>
      <c r="H51" s="88">
        <f t="shared" si="6"/>
        <v>0</v>
      </c>
      <c r="I51" s="88">
        <f t="shared" si="6"/>
        <v>0</v>
      </c>
      <c r="J51" s="88">
        <f t="shared" si="6"/>
        <v>0</v>
      </c>
      <c r="K51" s="88">
        <f t="shared" si="6"/>
        <v>0</v>
      </c>
    </row>
    <row r="52" spans="1:16">
      <c r="A52" s="211" t="s">
        <v>276</v>
      </c>
      <c r="B52" s="88">
        <f t="shared" si="6"/>
        <v>0</v>
      </c>
      <c r="C52" s="88">
        <f t="shared" si="6"/>
        <v>0</v>
      </c>
      <c r="D52" s="88">
        <f t="shared" si="6"/>
        <v>0</v>
      </c>
      <c r="E52" s="88">
        <f t="shared" si="6"/>
        <v>0</v>
      </c>
      <c r="F52" s="88">
        <f t="shared" si="6"/>
        <v>0</v>
      </c>
      <c r="G52" s="88">
        <f t="shared" si="6"/>
        <v>0</v>
      </c>
      <c r="H52" s="88">
        <f t="shared" si="6"/>
        <v>0</v>
      </c>
      <c r="I52" s="88">
        <f t="shared" si="6"/>
        <v>0</v>
      </c>
      <c r="J52" s="88">
        <f t="shared" si="6"/>
        <v>0</v>
      </c>
      <c r="K52" s="88">
        <f t="shared" si="6"/>
        <v>0</v>
      </c>
    </row>
    <row r="53" spans="1:16">
      <c r="A53" s="6" t="s">
        <v>98</v>
      </c>
      <c r="B53" s="88">
        <f>SUM(B38:B52)</f>
        <v>524144.91644384334</v>
      </c>
      <c r="C53" s="88">
        <f t="shared" ref="C53:K53" si="8">SUM(C38:C52)</f>
        <v>553617.36827905127</v>
      </c>
      <c r="D53" s="88">
        <f t="shared" si="8"/>
        <v>584231.2769779485</v>
      </c>
      <c r="E53" s="88">
        <f t="shared" si="8"/>
        <v>617683.42759315448</v>
      </c>
      <c r="F53" s="88">
        <f t="shared" si="8"/>
        <v>653553.43509467493</v>
      </c>
      <c r="G53" s="88">
        <f t="shared" si="8"/>
        <v>690735.22290794691</v>
      </c>
      <c r="H53" s="88">
        <f t="shared" si="8"/>
        <v>729808.79526103614</v>
      </c>
      <c r="I53" s="88">
        <f t="shared" si="8"/>
        <v>771415.50421633432</v>
      </c>
      <c r="J53" s="88">
        <f t="shared" si="8"/>
        <v>815419.65985615994</v>
      </c>
      <c r="K53" s="88">
        <f t="shared" si="8"/>
        <v>861960.72288028151</v>
      </c>
      <c r="L53" s="56">
        <f>(B53-B36)/$B$19</f>
        <v>3.1230778913520192E-3</v>
      </c>
      <c r="M53" s="56">
        <f>(K53-K36)/$K$19</f>
        <v>2.7931889211270525E-3</v>
      </c>
      <c r="P53" s="269"/>
    </row>
    <row r="54" spans="1:16">
      <c r="A54" s="210" t="s">
        <v>314</v>
      </c>
    </row>
    <row r="55" spans="1:16">
      <c r="A55" t="s">
        <v>4</v>
      </c>
      <c r="B55" s="88">
        <f>B38*UF_Assumptions_1!$D4</f>
        <v>168065.40085020397</v>
      </c>
      <c r="C55" s="88">
        <f>C38*UF_Assumptions_1!$D4</f>
        <v>178041.14413651105</v>
      </c>
      <c r="D55" s="88">
        <f>D38*UF_Assumptions_1!$D4</f>
        <v>188401.17812798856</v>
      </c>
      <c r="E55" s="88">
        <f>E38*UF_Assumptions_1!$D4</f>
        <v>199794.39481313588</v>
      </c>
      <c r="F55" s="88">
        <f>F38*UF_Assumptions_1!$D4</f>
        <v>212521.72125038865</v>
      </c>
      <c r="G55" s="88">
        <f>G38*UF_Assumptions_1!$D4</f>
        <v>225132.01882335413</v>
      </c>
      <c r="H55" s="88">
        <f>H38*UF_Assumptions_1!$D4</f>
        <v>238487.23438756022</v>
      </c>
      <c r="I55" s="88">
        <f>I38*UF_Assumptions_1!$D4</f>
        <v>252927.97771943724</v>
      </c>
      <c r="J55" s="88">
        <f>J38*UF_Assumptions_1!$D4</f>
        <v>268243.06847960519</v>
      </c>
      <c r="K55" s="88">
        <f>K38*UF_Assumptions_1!$D4</f>
        <v>284485.43865611631</v>
      </c>
    </row>
    <row r="56" spans="1:16">
      <c r="A56" t="s">
        <v>5</v>
      </c>
      <c r="B56" s="88">
        <f>B39*UF_Assumptions_1!$D5</f>
        <v>128445.22500160824</v>
      </c>
      <c r="C56" s="88">
        <f>C39*UF_Assumptions_1!$D5</f>
        <v>135555.30678277396</v>
      </c>
      <c r="D56" s="88">
        <f>D39*UF_Assumptions_1!$D5</f>
        <v>143036.39433417111</v>
      </c>
      <c r="E56" s="88">
        <f>E39*UF_Assumptions_1!$D5</f>
        <v>151400.05819780481</v>
      </c>
      <c r="F56" s="88">
        <f>F39*UF_Assumptions_1!$D5</f>
        <v>159832.56234244883</v>
      </c>
      <c r="G56" s="88">
        <f>G39*UF_Assumptions_1!$D5</f>
        <v>168836.81897407954</v>
      </c>
      <c r="H56" s="88">
        <f>H39*UF_Assumptions_1!$D5</f>
        <v>178345.84288413808</v>
      </c>
      <c r="I56" s="88">
        <f>I39*UF_Assumptions_1!$D5</f>
        <v>188312.48710433312</v>
      </c>
      <c r="J56" s="88">
        <f>J39*UF_Assumptions_1!$D5</f>
        <v>198836.06066425002</v>
      </c>
      <c r="K56" s="88">
        <f>K39*UF_Assumptions_1!$D5</f>
        <v>209947.67916944527</v>
      </c>
    </row>
    <row r="57" spans="1:16">
      <c r="A57" t="s">
        <v>6</v>
      </c>
      <c r="B57" s="88">
        <f>B40*UF_Assumptions_1!$D6</f>
        <v>14626.271104258265</v>
      </c>
      <c r="C57" s="88">
        <f>C40*UF_Assumptions_1!$D6</f>
        <v>15435.907925739757</v>
      </c>
      <c r="D57" s="88">
        <f>D40*UF_Assumptions_1!$D6</f>
        <v>16287.791790477091</v>
      </c>
      <c r="E57" s="88">
        <f>E40*UF_Assumptions_1!$D6</f>
        <v>17174.995835898917</v>
      </c>
      <c r="F57" s="88">
        <f>F40*UF_Assumptions_1!$D6</f>
        <v>18114.402414597807</v>
      </c>
      <c r="G57" s="88">
        <f>G40*UF_Assumptions_1!$D6</f>
        <v>19116.767229106299</v>
      </c>
      <c r="H57" s="88">
        <f>H40*UF_Assumptions_1!$D6</f>
        <v>20155.193612657378</v>
      </c>
      <c r="I57" s="88">
        <f>I40*UF_Assumptions_1!$D6</f>
        <v>21254.663393457824</v>
      </c>
      <c r="J57" s="88">
        <f>J40*UF_Assumptions_1!$D6</f>
        <v>22414.104433228877</v>
      </c>
      <c r="K57" s="88">
        <f>K40*UF_Assumptions_1!$D6</f>
        <v>23636.787318984465</v>
      </c>
    </row>
    <row r="58" spans="1:16">
      <c r="A58" t="s">
        <v>7</v>
      </c>
      <c r="B58" s="88">
        <f>B41*UF_Assumptions_1!$D7</f>
        <v>24571.670330208708</v>
      </c>
      <c r="C58" s="88">
        <f>C41*UF_Assumptions_1!$D7</f>
        <v>25661.455126848854</v>
      </c>
      <c r="D58" s="88">
        <f>D41*UF_Assumptions_1!$D7</f>
        <v>26795.344684529435</v>
      </c>
      <c r="E58" s="88">
        <f>E41*UF_Assumptions_1!$D7</f>
        <v>27986.82725618406</v>
      </c>
      <c r="F58" s="88">
        <f>F41*UF_Assumptions_1!$D7</f>
        <v>29237.546531149557</v>
      </c>
      <c r="G58" s="88">
        <f>G41*UF_Assumptions_1!$D7</f>
        <v>30504.451154814011</v>
      </c>
      <c r="H58" s="88">
        <f>H41*UF_Assumptions_1!$D7</f>
        <v>31825.807769452083</v>
      </c>
      <c r="I58" s="88">
        <f>I41*UF_Assumptions_1!$D7</f>
        <v>33211.755957358786</v>
      </c>
      <c r="J58" s="88">
        <f>J41*UF_Assumptions_1!$D7</f>
        <v>34658.051541965069</v>
      </c>
      <c r="K58" s="88">
        <f>K41*UF_Assumptions_1!$D7</f>
        <v>36167.32137888587</v>
      </c>
    </row>
    <row r="59" spans="1:16">
      <c r="A59" t="s">
        <v>8</v>
      </c>
      <c r="B59" s="88">
        <f>B42*UF_Assumptions_1!$D8</f>
        <v>28689.635954420595</v>
      </c>
      <c r="C59" s="88">
        <f>C42*UF_Assumptions_1!$D8</f>
        <v>30335.148515759727</v>
      </c>
      <c r="D59" s="88">
        <f>D42*UF_Assumptions_1!$D8</f>
        <v>31948.617271280385</v>
      </c>
      <c r="E59" s="88">
        <f>E42*UF_Assumptions_1!$D8</f>
        <v>33784.762834506182</v>
      </c>
      <c r="F59" s="88">
        <f>F42*UF_Assumptions_1!$D8</f>
        <v>35734.081370261993</v>
      </c>
      <c r="G59" s="88">
        <f>G42*UF_Assumptions_1!$D8</f>
        <v>37782.926230403427</v>
      </c>
      <c r="H59" s="88">
        <f>H42*UF_Assumptions_1!$D8</f>
        <v>39910.890682114885</v>
      </c>
      <c r="I59" s="88">
        <f>I42*UF_Assumptions_1!$D8</f>
        <v>42181.182194971159</v>
      </c>
      <c r="J59" s="88">
        <f>J42*UF_Assumptions_1!$D8</f>
        <v>44580.606980834782</v>
      </c>
      <c r="K59" s="88">
        <f>K42*UF_Assumptions_1!$D8</f>
        <v>47116.508905555907</v>
      </c>
    </row>
    <row r="60" spans="1:16">
      <c r="A60" t="s">
        <v>9</v>
      </c>
      <c r="B60" s="88">
        <f>B43*UF_Assumptions_1!$D9</f>
        <v>20558.54583663106</v>
      </c>
      <c r="C60" s="88">
        <f>C43*UF_Assumptions_1!$D9</f>
        <v>22046.176429891348</v>
      </c>
      <c r="D60" s="88">
        <f>D43*UF_Assumptions_1!$D9</f>
        <v>23593.622498416265</v>
      </c>
      <c r="E60" s="88">
        <f>E43*UF_Assumptions_1!$D9</f>
        <v>25280.049367683652</v>
      </c>
      <c r="F60" s="88">
        <f>F43*UF_Assumptions_1!$D9</f>
        <v>27067.519325668483</v>
      </c>
      <c r="G60" s="88">
        <f>G43*UF_Assumptions_1!$D9</f>
        <v>29025.601064598322</v>
      </c>
      <c r="H60" s="88">
        <f>H43*UF_Assumptions_1!$D9</f>
        <v>31124.896695766452</v>
      </c>
      <c r="I60" s="88">
        <f>I43*UF_Assumptions_1!$D9</f>
        <v>33351.998018123246</v>
      </c>
      <c r="J60" s="88">
        <f>J43*UF_Assumptions_1!$D9</f>
        <v>35738.448639502829</v>
      </c>
      <c r="K60" s="88">
        <f>K43*UF_Assumptions_1!$D9</f>
        <v>38295.648943540458</v>
      </c>
    </row>
    <row r="61" spans="1:16">
      <c r="A61" t="s">
        <v>10</v>
      </c>
      <c r="B61" s="88">
        <f>B44*UF_Assumptions_1!$D10</f>
        <v>19314.903208446871</v>
      </c>
      <c r="C61" s="88">
        <f>C44*UF_Assumptions_1!$D10</f>
        <v>20248.829312751863</v>
      </c>
      <c r="D61" s="88">
        <f>D44*UF_Assumptions_1!$D10</f>
        <v>21163.806395663054</v>
      </c>
      <c r="E61" s="88">
        <f>E44*UF_Assumptions_1!$D10</f>
        <v>22126.050076564541</v>
      </c>
      <c r="F61" s="88">
        <f>F44*UF_Assumptions_1!$D10</f>
        <v>23181.275733174672</v>
      </c>
      <c r="G61" s="88">
        <f>G44*UF_Assumptions_1!$D10</f>
        <v>24324.88535007407</v>
      </c>
      <c r="H61" s="88">
        <f>H44*UF_Assumptions_1!$D10</f>
        <v>25597.553137678322</v>
      </c>
      <c r="I61" s="88">
        <f>I44*UF_Assumptions_1!$D10</f>
        <v>26865.890611128772</v>
      </c>
      <c r="J61" s="88">
        <f>J44*UF_Assumptions_1!$D10</f>
        <v>28197.066818839965</v>
      </c>
      <c r="K61" s="88">
        <f>K44*UF_Assumptions_1!$D10</f>
        <v>29594.194354944852</v>
      </c>
    </row>
    <row r="62" spans="1:16">
      <c r="A62" t="s">
        <v>18</v>
      </c>
      <c r="B62" s="88">
        <f>B45*UF_Assumptions_1!$D11</f>
        <v>47906.523018869004</v>
      </c>
      <c r="C62" s="88">
        <f>C45*UF_Assumptions_1!$D11</f>
        <v>50702.155165477503</v>
      </c>
      <c r="D62" s="88">
        <f>D45*UF_Assumptions_1!$D11</f>
        <v>53703.173473611292</v>
      </c>
      <c r="E62" s="88">
        <f>E45*UF_Assumptions_1!$D11</f>
        <v>56843.320381218233</v>
      </c>
      <c r="F62" s="88">
        <f>F45*UF_Assumptions_1!$D11</f>
        <v>60293.717778102007</v>
      </c>
      <c r="G62" s="88">
        <f>G45*UF_Assumptions_1!$D11</f>
        <v>63931.649537879683</v>
      </c>
      <c r="H62" s="88">
        <f>H45*UF_Assumptions_1!$D11</f>
        <v>67724.184093453485</v>
      </c>
      <c r="I62" s="88">
        <f>I45*UF_Assumptions_1!$D11</f>
        <v>71779.821614972141</v>
      </c>
      <c r="J62" s="88">
        <f>J45*UF_Assumptions_1!$D11</f>
        <v>76078.312391000611</v>
      </c>
      <c r="K62" s="88">
        <f>K45*UF_Assumptions_1!$D11</f>
        <v>80634.196501833052</v>
      </c>
    </row>
    <row r="63" spans="1:16">
      <c r="A63" t="s">
        <v>16</v>
      </c>
      <c r="B63" s="88">
        <f>B46*UF_Assumptions_1!$D12</f>
        <v>9637.1769998811087</v>
      </c>
      <c r="C63" s="88">
        <f>C46*UF_Assumptions_1!$D12</f>
        <v>10083.87888270471</v>
      </c>
      <c r="D63" s="88">
        <f>D46*UF_Assumptions_1!$D12</f>
        <v>10559.707107985336</v>
      </c>
      <c r="E63" s="88">
        <f>E46*UF_Assumptions_1!$D12</f>
        <v>11060.948612131126</v>
      </c>
      <c r="F63" s="88">
        <f>F46*UF_Assumptions_1!$D12</f>
        <v>11588.462412451476</v>
      </c>
      <c r="G63" s="88">
        <f>G46*UF_Assumptions_1!$D12</f>
        <v>12148.56775369268</v>
      </c>
      <c r="H63" s="88">
        <f>H46*UF_Assumptions_1!$D12</f>
        <v>12735.566684289943</v>
      </c>
      <c r="I63" s="88">
        <f>I46*UF_Assumptions_1!$D12</f>
        <v>13345.373113401587</v>
      </c>
      <c r="J63" s="88">
        <f>J46*UF_Assumptions_1!$D12</f>
        <v>13984.375250099914</v>
      </c>
      <c r="K63" s="88">
        <f>K46*UF_Assumptions_1!$D12</f>
        <v>14653.970556324568</v>
      </c>
    </row>
    <row r="64" spans="1:16">
      <c r="A64" t="s">
        <v>11</v>
      </c>
      <c r="B64" s="88">
        <f>B47*UF_Assumptions_1!$D13</f>
        <v>6162.3948312992134</v>
      </c>
      <c r="C64" s="88">
        <f>C47*UF_Assumptions_1!$D13</f>
        <v>6528.1718951976818</v>
      </c>
      <c r="D64" s="88">
        <f>D47*UF_Assumptions_1!$D13</f>
        <v>6914.5689489756287</v>
      </c>
      <c r="E64" s="88">
        <f>E47*UF_Assumptions_1!$D13</f>
        <v>7325.7972047563417</v>
      </c>
      <c r="F64" s="88">
        <f>F47*UF_Assumptions_1!$D13</f>
        <v>7763.1434707868202</v>
      </c>
      <c r="G64" s="88">
        <f>G47*UF_Assumptions_1!$D13</f>
        <v>8239.3125438307543</v>
      </c>
      <c r="H64" s="88">
        <f>H47*UF_Assumptions_1!$D13</f>
        <v>8703.357178512957</v>
      </c>
      <c r="I64" s="88">
        <f>I47*UF_Assumptions_1!$D13</f>
        <v>9215.849331781561</v>
      </c>
      <c r="J64" s="88">
        <f>J47*UF_Assumptions_1!$D13</f>
        <v>9758.5170973466174</v>
      </c>
      <c r="K64" s="88">
        <f>K47*UF_Assumptions_1!$D13</f>
        <v>10333.136956030772</v>
      </c>
    </row>
    <row r="65" spans="1:16">
      <c r="A65" t="s">
        <v>13</v>
      </c>
      <c r="B65" s="88">
        <f t="shared" ref="B65:K65" si="9">B48</f>
        <v>13015.934321462773</v>
      </c>
      <c r="C65" s="88">
        <f t="shared" si="9"/>
        <v>13476.024721270978</v>
      </c>
      <c r="D65" s="88">
        <f t="shared" si="9"/>
        <v>13923.220163679234</v>
      </c>
      <c r="E65" s="88">
        <f t="shared" si="9"/>
        <v>14458.753862211928</v>
      </c>
      <c r="F65" s="88">
        <f t="shared" si="9"/>
        <v>15047.036138730071</v>
      </c>
      <c r="G65" s="88">
        <f t="shared" si="9"/>
        <v>15608.734786912868</v>
      </c>
      <c r="H65" s="88">
        <f t="shared" si="9"/>
        <v>16159.948137089295</v>
      </c>
      <c r="I65" s="88">
        <f t="shared" si="9"/>
        <v>16766.700865673727</v>
      </c>
      <c r="J65" s="88">
        <f t="shared" si="9"/>
        <v>17396.231249972214</v>
      </c>
      <c r="K65" s="88">
        <f t="shared" si="9"/>
        <v>18049.393987394586</v>
      </c>
    </row>
    <row r="66" spans="1:16">
      <c r="A66" s="6" t="s">
        <v>71</v>
      </c>
      <c r="B66" s="88">
        <f t="shared" ref="B66:K66" si="10">B49</f>
        <v>28791.565066927964</v>
      </c>
      <c r="C66" s="88">
        <f t="shared" si="10"/>
        <v>30298.917575967578</v>
      </c>
      <c r="D66" s="88">
        <f t="shared" si="10"/>
        <v>31880.154947029732</v>
      </c>
      <c r="E66" s="88">
        <f t="shared" si="10"/>
        <v>33584.788311616554</v>
      </c>
      <c r="F66" s="88">
        <f t="shared" si="10"/>
        <v>35388.140800757341</v>
      </c>
      <c r="G66" s="88">
        <f t="shared" si="10"/>
        <v>37275.55331184082</v>
      </c>
      <c r="H66" s="88">
        <f t="shared" si="10"/>
        <v>39225.794609276592</v>
      </c>
      <c r="I66" s="88">
        <f t="shared" si="10"/>
        <v>41300.179658613044</v>
      </c>
      <c r="J66" s="88">
        <f t="shared" si="10"/>
        <v>43484.255035020928</v>
      </c>
      <c r="K66" s="88">
        <f t="shared" si="10"/>
        <v>45783.819883571348</v>
      </c>
    </row>
    <row r="67" spans="1:16">
      <c r="A67" s="6" t="s">
        <v>166</v>
      </c>
      <c r="B67" s="88">
        <f>B50*(SUM(B55:B64)/SUM(B38:B47))</f>
        <v>43590.422343348007</v>
      </c>
      <c r="C67" s="88">
        <f t="shared" ref="C67:K67" si="11">C50*(SUM(C55:C64)/SUM(C38:C47))</f>
        <v>46107.976167955705</v>
      </c>
      <c r="D67" s="88">
        <f t="shared" si="11"/>
        <v>48681.316729246224</v>
      </c>
      <c r="E67" s="88">
        <f t="shared" si="11"/>
        <v>51431.401696956738</v>
      </c>
      <c r="F67" s="88">
        <f t="shared" si="11"/>
        <v>54379.591304466143</v>
      </c>
      <c r="G67" s="88">
        <f t="shared" si="11"/>
        <v>57523.343405787571</v>
      </c>
      <c r="H67" s="88">
        <f t="shared" si="11"/>
        <v>60754.972819010676</v>
      </c>
      <c r="I67" s="88">
        <f t="shared" si="11"/>
        <v>64212.664326125006</v>
      </c>
      <c r="J67" s="88">
        <f t="shared" si="11"/>
        <v>67868.473974574983</v>
      </c>
      <c r="K67" s="88">
        <f t="shared" si="11"/>
        <v>71733.836245111743</v>
      </c>
      <c r="N67" s="269">
        <f>K67/(SUM(K55:K64)+K67)</f>
        <v>8.4731803434529504E-2</v>
      </c>
    </row>
    <row r="68" spans="1:16">
      <c r="A68" s="212" t="s">
        <v>218</v>
      </c>
      <c r="B68" s="88">
        <f t="shared" ref="B68:K68" si="12">B51</f>
        <v>0</v>
      </c>
      <c r="C68" s="88">
        <f t="shared" si="12"/>
        <v>0</v>
      </c>
      <c r="D68" s="88">
        <f t="shared" si="12"/>
        <v>0</v>
      </c>
      <c r="E68" s="88">
        <f t="shared" si="12"/>
        <v>0</v>
      </c>
      <c r="F68" s="88">
        <f t="shared" si="12"/>
        <v>0</v>
      </c>
      <c r="G68" s="88">
        <f t="shared" si="12"/>
        <v>0</v>
      </c>
      <c r="H68" s="88">
        <f t="shared" si="12"/>
        <v>0</v>
      </c>
      <c r="I68" s="88">
        <f t="shared" si="12"/>
        <v>0</v>
      </c>
      <c r="J68" s="88">
        <f t="shared" si="12"/>
        <v>0</v>
      </c>
      <c r="K68" s="88">
        <f t="shared" si="12"/>
        <v>0</v>
      </c>
    </row>
    <row r="69" spans="1:16">
      <c r="A69" s="211" t="s">
        <v>276</v>
      </c>
      <c r="B69" s="88">
        <f t="shared" ref="B69:K69" si="13">B52</f>
        <v>0</v>
      </c>
      <c r="C69" s="88">
        <f t="shared" si="13"/>
        <v>0</v>
      </c>
      <c r="D69" s="88">
        <f t="shared" si="13"/>
        <v>0</v>
      </c>
      <c r="E69" s="88">
        <f t="shared" si="13"/>
        <v>0</v>
      </c>
      <c r="F69" s="88">
        <f t="shared" si="13"/>
        <v>0</v>
      </c>
      <c r="G69" s="88">
        <f t="shared" si="13"/>
        <v>0</v>
      </c>
      <c r="H69" s="88">
        <f t="shared" si="13"/>
        <v>0</v>
      </c>
      <c r="I69" s="88">
        <f t="shared" si="13"/>
        <v>0</v>
      </c>
      <c r="J69" s="88">
        <f t="shared" si="13"/>
        <v>0</v>
      </c>
      <c r="K69" s="88">
        <f t="shared" si="13"/>
        <v>0</v>
      </c>
    </row>
    <row r="70" spans="1:16">
      <c r="A70" s="6" t="s">
        <v>98</v>
      </c>
      <c r="B70" s="88">
        <f>SUM(B55:B69)</f>
        <v>553375.66886756569</v>
      </c>
      <c r="C70" s="88">
        <f t="shared" ref="C70:J70" si="14">SUM(C55:C69)</f>
        <v>584521.09263885068</v>
      </c>
      <c r="D70" s="88">
        <f t="shared" si="14"/>
        <v>616888.89647305338</v>
      </c>
      <c r="E70" s="88">
        <f t="shared" si="14"/>
        <v>652252.1484506689</v>
      </c>
      <c r="F70" s="88">
        <f t="shared" si="14"/>
        <v>690149.2008729839</v>
      </c>
      <c r="G70" s="88">
        <f t="shared" si="14"/>
        <v>729450.63016637415</v>
      </c>
      <c r="H70" s="88">
        <f t="shared" si="14"/>
        <v>770751.24269100034</v>
      </c>
      <c r="I70" s="88">
        <f t="shared" si="14"/>
        <v>814726.54390937719</v>
      </c>
      <c r="J70" s="88">
        <f t="shared" si="14"/>
        <v>861237.57255624188</v>
      </c>
      <c r="K70" s="88">
        <f>SUM(K55:K69)</f>
        <v>910431.93285773916</v>
      </c>
      <c r="L70" s="56">
        <f>(B70-B53)/$B$19</f>
        <v>5.6538487425593392E-2</v>
      </c>
      <c r="M70" s="56">
        <f>(K70-K53)/$K$19</f>
        <v>5.6996812046741195E-2</v>
      </c>
      <c r="P70" s="269"/>
    </row>
    <row r="71" spans="1:16">
      <c r="A71" s="210" t="s">
        <v>338</v>
      </c>
      <c r="B71" s="6"/>
      <c r="C71" s="6"/>
      <c r="D71" s="6"/>
      <c r="E71" s="6"/>
      <c r="F71" s="6"/>
      <c r="G71" s="6"/>
      <c r="H71" s="6"/>
      <c r="I71" s="6"/>
      <c r="J71" s="6"/>
      <c r="K71" s="6"/>
      <c r="L71" s="299"/>
    </row>
    <row r="72" spans="1:16">
      <c r="A72" s="6" t="s">
        <v>4</v>
      </c>
      <c r="B72" s="285">
        <f>B55*UF_Assumptions_1!$G4*UF_Assumptions_1!$F4</f>
        <v>165880.5506391513</v>
      </c>
      <c r="C72" s="285">
        <f>C55*UF_Assumptions_1!$G4*UF_Assumptions_1!$F4</f>
        <v>175726.6092627364</v>
      </c>
      <c r="D72" s="285">
        <f>D55*UF_Assumptions_1!$G4*UF_Assumptions_1!$F4</f>
        <v>185951.96281232469</v>
      </c>
      <c r="E72" s="285">
        <f>E55*UF_Assumptions_1!$G4*UF_Assumptions_1!$F4</f>
        <v>197197.06768056512</v>
      </c>
      <c r="F72" s="285">
        <f>F55*UF_Assumptions_1!$G4*UF_Assumptions_1!$F4</f>
        <v>209758.9388741336</v>
      </c>
      <c r="G72" s="285">
        <f>G55*UF_Assumptions_1!$G4*UF_Assumptions_1!$F4</f>
        <v>222205.30257865053</v>
      </c>
      <c r="H72" s="285">
        <f>H55*UF_Assumptions_1!$G4*UF_Assumptions_1!$F4</f>
        <v>235386.90034052194</v>
      </c>
      <c r="I72" s="285">
        <f>I55*UF_Assumptions_1!$G4*UF_Assumptions_1!$F4</f>
        <v>249639.91400908455</v>
      </c>
      <c r="J72" s="285">
        <f>J55*UF_Assumptions_1!$G4*UF_Assumptions_1!$F4</f>
        <v>264755.90858937032</v>
      </c>
      <c r="K72" s="285">
        <f>K55*UF_Assumptions_1!$G4*UF_Assumptions_1!$F4</f>
        <v>280787.12795358681</v>
      </c>
      <c r="L72" s="299"/>
    </row>
    <row r="73" spans="1:16">
      <c r="A73" s="6" t="s">
        <v>5</v>
      </c>
      <c r="B73" s="285">
        <f>B56*UF_Assumptions_1!$G5*UF_Assumptions_1!$F5</f>
        <v>123307.41600154391</v>
      </c>
      <c r="C73" s="285">
        <f>C56*UF_Assumptions_1!$G5*UF_Assumptions_1!$F5</f>
        <v>130133.094511463</v>
      </c>
      <c r="D73" s="285">
        <f>D56*UF_Assumptions_1!$G5*UF_Assumptions_1!$F5</f>
        <v>137314.93856080426</v>
      </c>
      <c r="E73" s="285">
        <f>E56*UF_Assumptions_1!$G5*UF_Assumptions_1!$F5</f>
        <v>145344.05586989262</v>
      </c>
      <c r="F73" s="285">
        <f>F56*UF_Assumptions_1!$G5*UF_Assumptions_1!$F5</f>
        <v>153439.25984875087</v>
      </c>
      <c r="G73" s="285">
        <f>G56*UF_Assumptions_1!$G5*UF_Assumptions_1!$F5</f>
        <v>162083.34621511635</v>
      </c>
      <c r="H73" s="285">
        <f>H56*UF_Assumptions_1!$G5*UF_Assumptions_1!$F5</f>
        <v>171212.00916877255</v>
      </c>
      <c r="I73" s="285">
        <f>I56*UF_Assumptions_1!$G5*UF_Assumptions_1!$F5</f>
        <v>180779.98762015978</v>
      </c>
      <c r="J73" s="285">
        <f>J56*UF_Assumptions_1!$G5*UF_Assumptions_1!$F5</f>
        <v>190882.61823768</v>
      </c>
      <c r="K73" s="285">
        <f>K56*UF_Assumptions_1!$G5*UF_Assumptions_1!$F5</f>
        <v>201549.77200266745</v>
      </c>
      <c r="L73" s="299"/>
    </row>
    <row r="74" spans="1:16">
      <c r="A74" s="6" t="s">
        <v>6</v>
      </c>
      <c r="B74" s="285">
        <f>B57*UF_Assumptions_1!$G6*UF_Assumptions_1!$F6</f>
        <v>14626.271104258265</v>
      </c>
      <c r="C74" s="285">
        <f>C57*UF_Assumptions_1!$G6*UF_Assumptions_1!$F6</f>
        <v>15435.907925739757</v>
      </c>
      <c r="D74" s="285">
        <f>D57*UF_Assumptions_1!$G6*UF_Assumptions_1!$F6</f>
        <v>16287.791790477091</v>
      </c>
      <c r="E74" s="285">
        <f>E57*UF_Assumptions_1!$G6*UF_Assumptions_1!$F6</f>
        <v>17174.995835898917</v>
      </c>
      <c r="F74" s="285">
        <f>F57*UF_Assumptions_1!$G6*UF_Assumptions_1!$F6</f>
        <v>18114.402414597807</v>
      </c>
      <c r="G74" s="285">
        <f>G57*UF_Assumptions_1!$G6*UF_Assumptions_1!$F6</f>
        <v>19116.767229106299</v>
      </c>
      <c r="H74" s="285">
        <f>H57*UF_Assumptions_1!$G6*UF_Assumptions_1!$F6</f>
        <v>20155.193612657378</v>
      </c>
      <c r="I74" s="285">
        <f>I57*UF_Assumptions_1!$G6*UF_Assumptions_1!$F6</f>
        <v>21254.663393457824</v>
      </c>
      <c r="J74" s="285">
        <f>J57*UF_Assumptions_1!$G6*UF_Assumptions_1!$F6</f>
        <v>22414.104433228877</v>
      </c>
      <c r="K74" s="285">
        <f>K57*UF_Assumptions_1!$G6*UF_Assumptions_1!$F6</f>
        <v>23636.787318984465</v>
      </c>
      <c r="L74" s="299"/>
    </row>
    <row r="75" spans="1:16">
      <c r="A75" s="6" t="s">
        <v>7</v>
      </c>
      <c r="B75" s="285">
        <f>B58*UF_Assumptions_1!$G7*UF_Assumptions_1!$F7</f>
        <v>24571.670330208708</v>
      </c>
      <c r="C75" s="285">
        <f>C58*UF_Assumptions_1!$G7*UF_Assumptions_1!$F7</f>
        <v>25661.455126848854</v>
      </c>
      <c r="D75" s="285">
        <f>D58*UF_Assumptions_1!$G7*UF_Assumptions_1!$F7</f>
        <v>26795.344684529435</v>
      </c>
      <c r="E75" s="285">
        <f>E58*UF_Assumptions_1!$G7*UF_Assumptions_1!$F7</f>
        <v>27986.82725618406</v>
      </c>
      <c r="F75" s="285">
        <f>F58*UF_Assumptions_1!$G7*UF_Assumptions_1!$F7</f>
        <v>29237.546531149557</v>
      </c>
      <c r="G75" s="285">
        <f>G58*UF_Assumptions_1!$G7*UF_Assumptions_1!$F7</f>
        <v>30504.451154814011</v>
      </c>
      <c r="H75" s="285">
        <f>H58*UF_Assumptions_1!$G7*UF_Assumptions_1!$F7</f>
        <v>31825.807769452083</v>
      </c>
      <c r="I75" s="285">
        <f>I58*UF_Assumptions_1!$G7*UF_Assumptions_1!$F7</f>
        <v>33211.755957358786</v>
      </c>
      <c r="J75" s="285">
        <f>J58*UF_Assumptions_1!$G7*UF_Assumptions_1!$F7</f>
        <v>34658.051541965069</v>
      </c>
      <c r="K75" s="285">
        <f>K58*UF_Assumptions_1!$G7*UF_Assumptions_1!$F7</f>
        <v>36167.32137888587</v>
      </c>
      <c r="L75" s="299"/>
    </row>
    <row r="76" spans="1:16">
      <c r="A76" s="6" t="s">
        <v>8</v>
      </c>
      <c r="B76" s="285">
        <f>B59*UF_Assumptions_1!$G8*UF_Assumptions_1!$F8</f>
        <v>28689.635954420595</v>
      </c>
      <c r="C76" s="285">
        <f>C59*UF_Assumptions_1!$G8*UF_Assumptions_1!$F8</f>
        <v>30335.148515759727</v>
      </c>
      <c r="D76" s="285">
        <f>D59*UF_Assumptions_1!$G8*UF_Assumptions_1!$F8</f>
        <v>31948.617271280385</v>
      </c>
      <c r="E76" s="285">
        <f>E59*UF_Assumptions_1!$G8*UF_Assumptions_1!$F8</f>
        <v>33784.762834506182</v>
      </c>
      <c r="F76" s="285">
        <f>F59*UF_Assumptions_1!$G8*UF_Assumptions_1!$F8</f>
        <v>35734.081370261993</v>
      </c>
      <c r="G76" s="285">
        <f>G59*UF_Assumptions_1!$G8*UF_Assumptions_1!$F8</f>
        <v>37782.926230403427</v>
      </c>
      <c r="H76" s="285">
        <f>H59*UF_Assumptions_1!$G8*UF_Assumptions_1!$F8</f>
        <v>39910.890682114885</v>
      </c>
      <c r="I76" s="285">
        <f>I59*UF_Assumptions_1!$G8*UF_Assumptions_1!$F8</f>
        <v>42181.182194971159</v>
      </c>
      <c r="J76" s="285">
        <f>J59*UF_Assumptions_1!$G8*UF_Assumptions_1!$F8</f>
        <v>44580.606980834782</v>
      </c>
      <c r="K76" s="285">
        <f>K59*UF_Assumptions_1!$G8*UF_Assumptions_1!$F8</f>
        <v>47116.508905555907</v>
      </c>
      <c r="L76" s="299"/>
    </row>
    <row r="77" spans="1:16">
      <c r="A77" s="6" t="s">
        <v>9</v>
      </c>
      <c r="B77" s="285">
        <f>B60*UF_Assumptions_1!$G9*UF_Assumptions_1!$F9</f>
        <v>20558.54583663106</v>
      </c>
      <c r="C77" s="285">
        <f>C60*UF_Assumptions_1!$G9*UF_Assumptions_1!$F9</f>
        <v>22046.176429891348</v>
      </c>
      <c r="D77" s="285">
        <f>D60*UF_Assumptions_1!$G9*UF_Assumptions_1!$F9</f>
        <v>23593.622498416265</v>
      </c>
      <c r="E77" s="285">
        <f>E60*UF_Assumptions_1!$G9*UF_Assumptions_1!$F9</f>
        <v>25280.049367683652</v>
      </c>
      <c r="F77" s="285">
        <f>F60*UF_Assumptions_1!$G9*UF_Assumptions_1!$F9</f>
        <v>27067.519325668483</v>
      </c>
      <c r="G77" s="285">
        <f>G60*UF_Assumptions_1!$G9*UF_Assumptions_1!$F9</f>
        <v>29025.601064598322</v>
      </c>
      <c r="H77" s="285">
        <f>H60*UF_Assumptions_1!$G9*UF_Assumptions_1!$F9</f>
        <v>31124.896695766452</v>
      </c>
      <c r="I77" s="285">
        <f>I60*UF_Assumptions_1!$G9*UF_Assumptions_1!$F9</f>
        <v>33351.998018123246</v>
      </c>
      <c r="J77" s="285">
        <f>J60*UF_Assumptions_1!$G9*UF_Assumptions_1!$F9</f>
        <v>35738.448639502829</v>
      </c>
      <c r="K77" s="285">
        <f>K60*UF_Assumptions_1!$G9*UF_Assumptions_1!$F9</f>
        <v>38295.648943540458</v>
      </c>
      <c r="L77" s="299"/>
    </row>
    <row r="78" spans="1:16">
      <c r="A78" s="6" t="s">
        <v>10</v>
      </c>
      <c r="B78" s="285">
        <f>B61*UF_Assumptions_1!$G10*UF_Assumptions_1!$F10</f>
        <v>18522.992176900549</v>
      </c>
      <c r="C78" s="285">
        <f>C61*UF_Assumptions_1!$G10*UF_Assumptions_1!$F10</f>
        <v>19418.627310929034</v>
      </c>
      <c r="D78" s="285">
        <f>D61*UF_Assumptions_1!$G10*UF_Assumptions_1!$F10</f>
        <v>20296.090333440869</v>
      </c>
      <c r="E78" s="285">
        <f>E61*UF_Assumptions_1!$G10*UF_Assumptions_1!$F10</f>
        <v>21218.882023425394</v>
      </c>
      <c r="F78" s="285">
        <f>F61*UF_Assumptions_1!$G10*UF_Assumptions_1!$F10</f>
        <v>22230.843428114509</v>
      </c>
      <c r="G78" s="285">
        <f>G61*UF_Assumptions_1!$G10*UF_Assumptions_1!$F10</f>
        <v>23327.56505072103</v>
      </c>
      <c r="H78" s="285">
        <f>H61*UF_Assumptions_1!$G10*UF_Assumptions_1!$F10</f>
        <v>24548.053459033508</v>
      </c>
      <c r="I78" s="285">
        <f>I61*UF_Assumptions_1!$G10*UF_Assumptions_1!$F10</f>
        <v>25764.389096072493</v>
      </c>
      <c r="J78" s="285">
        <f>J61*UF_Assumptions_1!$G10*UF_Assumptions_1!$F10</f>
        <v>27040.987079267525</v>
      </c>
      <c r="K78" s="285">
        <f>K61*UF_Assumptions_1!$G10*UF_Assumptions_1!$F10</f>
        <v>28380.83238639211</v>
      </c>
      <c r="L78" s="299"/>
    </row>
    <row r="79" spans="1:16">
      <c r="A79" s="6" t="s">
        <v>18</v>
      </c>
      <c r="B79" s="285">
        <f>B62*UF_Assumptions_1!$G11*UF_Assumptions_1!$F11</f>
        <v>28743.913811321403</v>
      </c>
      <c r="C79" s="285">
        <f>C62*UF_Assumptions_1!$G11*UF_Assumptions_1!$F11</f>
        <v>30421.2930992865</v>
      </c>
      <c r="D79" s="285">
        <f>D62*UF_Assumptions_1!$G11*UF_Assumptions_1!$F11</f>
        <v>32221.904084166774</v>
      </c>
      <c r="E79" s="285">
        <f>E62*UF_Assumptions_1!$G11*UF_Assumptions_1!$F11</f>
        <v>34105.992228730938</v>
      </c>
      <c r="F79" s="285">
        <f>F62*UF_Assumptions_1!$G11*UF_Assumptions_1!$F11</f>
        <v>36176.2306668612</v>
      </c>
      <c r="G79" s="285">
        <f>G62*UF_Assumptions_1!$G11*UF_Assumptions_1!$F11</f>
        <v>38358.989722727805</v>
      </c>
      <c r="H79" s="285">
        <f>H62*UF_Assumptions_1!$G11*UF_Assumptions_1!$F11</f>
        <v>40634.510456072087</v>
      </c>
      <c r="I79" s="285">
        <f>I62*UF_Assumptions_1!$G11*UF_Assumptions_1!$F11</f>
        <v>43067.89296898328</v>
      </c>
      <c r="J79" s="285">
        <f>J62*UF_Assumptions_1!$G11*UF_Assumptions_1!$F11</f>
        <v>45646.987434600363</v>
      </c>
      <c r="K79" s="285">
        <f>K62*UF_Assumptions_1!$G11*UF_Assumptions_1!$F11</f>
        <v>48380.517901099833</v>
      </c>
      <c r="L79" s="299"/>
    </row>
    <row r="80" spans="1:16">
      <c r="A80" s="6" t="s">
        <v>16</v>
      </c>
      <c r="B80" s="285">
        <f>B63*UF_Assumptions_1!$G12*UF_Assumptions_1!$F12</f>
        <v>9637.1769998811087</v>
      </c>
      <c r="C80" s="285">
        <f>C63*UF_Assumptions_1!$G12*UF_Assumptions_1!$F12</f>
        <v>10083.87888270471</v>
      </c>
      <c r="D80" s="285">
        <f>D63*UF_Assumptions_1!$G12*UF_Assumptions_1!$F12</f>
        <v>10559.707107985336</v>
      </c>
      <c r="E80" s="285">
        <f>E63*UF_Assumptions_1!$G12*UF_Assumptions_1!$F12</f>
        <v>11060.948612131126</v>
      </c>
      <c r="F80" s="285">
        <f>F63*UF_Assumptions_1!$G12*UF_Assumptions_1!$F12</f>
        <v>11588.462412451476</v>
      </c>
      <c r="G80" s="285">
        <f>G63*UF_Assumptions_1!$G12*UF_Assumptions_1!$F12</f>
        <v>12148.56775369268</v>
      </c>
      <c r="H80" s="285">
        <f>H63*UF_Assumptions_1!$G12*UF_Assumptions_1!$F12</f>
        <v>12735.566684289943</v>
      </c>
      <c r="I80" s="285">
        <f>I63*UF_Assumptions_1!$G12*UF_Assumptions_1!$F12</f>
        <v>13345.373113401587</v>
      </c>
      <c r="J80" s="285">
        <f>J63*UF_Assumptions_1!$G12*UF_Assumptions_1!$F12</f>
        <v>13984.375250099914</v>
      </c>
      <c r="K80" s="285">
        <f>K63*UF_Assumptions_1!$G12*UF_Assumptions_1!$F12</f>
        <v>14653.970556324568</v>
      </c>
      <c r="L80" s="299"/>
    </row>
    <row r="81" spans="1:16">
      <c r="A81" s="6" t="s">
        <v>11</v>
      </c>
      <c r="B81" s="285">
        <f>B64*UF_Assumptions_1!$G13*UF_Assumptions_1!$F13</f>
        <v>6162.3948312992134</v>
      </c>
      <c r="C81" s="285">
        <f>C64*UF_Assumptions_1!$G13*UF_Assumptions_1!$F13</f>
        <v>6528.1718951976818</v>
      </c>
      <c r="D81" s="285">
        <f>D64*UF_Assumptions_1!$G13*UF_Assumptions_1!$F13</f>
        <v>6914.5689489756287</v>
      </c>
      <c r="E81" s="285">
        <f>E64*UF_Assumptions_1!$G13*UF_Assumptions_1!$F13</f>
        <v>7325.7972047563417</v>
      </c>
      <c r="F81" s="285">
        <f>F64*UF_Assumptions_1!$G13*UF_Assumptions_1!$F13</f>
        <v>7763.1434707868202</v>
      </c>
      <c r="G81" s="285">
        <f>G64*UF_Assumptions_1!$G13*UF_Assumptions_1!$F13</f>
        <v>8239.3125438307543</v>
      </c>
      <c r="H81" s="285">
        <f>H64*UF_Assumptions_1!$G13*UF_Assumptions_1!$F13</f>
        <v>8703.357178512957</v>
      </c>
      <c r="I81" s="285">
        <f>I64*UF_Assumptions_1!$G13*UF_Assumptions_1!$F13</f>
        <v>9215.849331781561</v>
      </c>
      <c r="J81" s="285">
        <f>J64*UF_Assumptions_1!$G13*UF_Assumptions_1!$F13</f>
        <v>9758.5170973466174</v>
      </c>
      <c r="K81" s="285">
        <f>K64*UF_Assumptions_1!$G13*UF_Assumptions_1!$F13</f>
        <v>10333.136956030772</v>
      </c>
      <c r="L81" s="299"/>
    </row>
    <row r="82" spans="1:16">
      <c r="A82" s="6" t="s">
        <v>13</v>
      </c>
      <c r="B82" s="285">
        <f>B65</f>
        <v>13015.934321462773</v>
      </c>
      <c r="C82" s="285">
        <f t="shared" ref="C82:K83" si="15">C65</f>
        <v>13476.024721270978</v>
      </c>
      <c r="D82" s="285">
        <f t="shared" si="15"/>
        <v>13923.220163679234</v>
      </c>
      <c r="E82" s="285">
        <f t="shared" si="15"/>
        <v>14458.753862211928</v>
      </c>
      <c r="F82" s="285">
        <f t="shared" si="15"/>
        <v>15047.036138730071</v>
      </c>
      <c r="G82" s="285">
        <f t="shared" si="15"/>
        <v>15608.734786912868</v>
      </c>
      <c r="H82" s="285">
        <f t="shared" si="15"/>
        <v>16159.948137089295</v>
      </c>
      <c r="I82" s="285">
        <f t="shared" si="15"/>
        <v>16766.700865673727</v>
      </c>
      <c r="J82" s="285">
        <f t="shared" si="15"/>
        <v>17396.231249972214</v>
      </c>
      <c r="K82" s="285">
        <f t="shared" si="15"/>
        <v>18049.393987394586</v>
      </c>
      <c r="L82" s="299"/>
    </row>
    <row r="83" spans="1:16">
      <c r="A83" s="6" t="s">
        <v>71</v>
      </c>
      <c r="B83" s="285">
        <f>B66</f>
        <v>28791.565066927964</v>
      </c>
      <c r="C83" s="285">
        <f t="shared" si="15"/>
        <v>30298.917575967578</v>
      </c>
      <c r="D83" s="285">
        <f t="shared" si="15"/>
        <v>31880.154947029732</v>
      </c>
      <c r="E83" s="285">
        <f t="shared" si="15"/>
        <v>33584.788311616554</v>
      </c>
      <c r="F83" s="285">
        <f t="shared" si="15"/>
        <v>35388.140800757341</v>
      </c>
      <c r="G83" s="285">
        <f t="shared" si="15"/>
        <v>37275.55331184082</v>
      </c>
      <c r="H83" s="285">
        <f t="shared" si="15"/>
        <v>39225.794609276592</v>
      </c>
      <c r="I83" s="285">
        <f t="shared" si="15"/>
        <v>41300.179658613044</v>
      </c>
      <c r="J83" s="285">
        <f t="shared" si="15"/>
        <v>43484.255035020928</v>
      </c>
      <c r="K83" s="285">
        <f t="shared" si="15"/>
        <v>45783.819883571348</v>
      </c>
      <c r="L83" s="299"/>
    </row>
    <row r="84" spans="1:16">
      <c r="A84" s="6" t="s">
        <v>166</v>
      </c>
      <c r="B84" s="285">
        <f>B67*(SUM(B72:B81)/SUM(B55:B64))</f>
        <v>41049.65244596039</v>
      </c>
      <c r="C84" s="285">
        <f t="shared" ref="C84:K84" si="16">C67*(SUM(C72:C81)/SUM(C55:C64))</f>
        <v>43418.911188016849</v>
      </c>
      <c r="D84" s="285">
        <f t="shared" si="16"/>
        <v>45837.279385463771</v>
      </c>
      <c r="E84" s="285">
        <f t="shared" si="16"/>
        <v>48426.35295035653</v>
      </c>
      <c r="F84" s="285">
        <f t="shared" si="16"/>
        <v>51200.063051652258</v>
      </c>
      <c r="G84" s="285">
        <f t="shared" si="16"/>
        <v>54154.868305980213</v>
      </c>
      <c r="H84" s="285">
        <f t="shared" si="16"/>
        <v>57193.509631989182</v>
      </c>
      <c r="I84" s="285">
        <f t="shared" si="16"/>
        <v>60444.553583906178</v>
      </c>
      <c r="J84" s="285">
        <f t="shared" si="16"/>
        <v>63881.729163664866</v>
      </c>
      <c r="K84" s="285">
        <f t="shared" si="16"/>
        <v>67515.775274193482</v>
      </c>
      <c r="L84" s="299"/>
      <c r="N84" s="269">
        <f>K84/(SUM(K72:K81)+K84)</f>
        <v>8.4731803434529504E-2</v>
      </c>
    </row>
    <row r="85" spans="1:16">
      <c r="A85" s="212" t="s">
        <v>218</v>
      </c>
      <c r="B85" s="285">
        <f t="shared" ref="B85:K86" si="17">B102</f>
        <v>0</v>
      </c>
      <c r="C85" s="285">
        <f t="shared" si="17"/>
        <v>0</v>
      </c>
      <c r="D85" s="285">
        <f t="shared" si="17"/>
        <v>0</v>
      </c>
      <c r="E85" s="285">
        <f t="shared" si="17"/>
        <v>0</v>
      </c>
      <c r="F85" s="285">
        <f t="shared" si="17"/>
        <v>0</v>
      </c>
      <c r="G85" s="285">
        <f t="shared" si="17"/>
        <v>0</v>
      </c>
      <c r="H85" s="285">
        <f t="shared" si="17"/>
        <v>0</v>
      </c>
      <c r="I85" s="285">
        <f t="shared" si="17"/>
        <v>0</v>
      </c>
      <c r="J85" s="285">
        <f t="shared" si="17"/>
        <v>0</v>
      </c>
      <c r="K85" s="285">
        <f t="shared" si="17"/>
        <v>0</v>
      </c>
      <c r="L85" s="299"/>
    </row>
    <row r="86" spans="1:16">
      <c r="A86" s="280" t="s">
        <v>276</v>
      </c>
      <c r="B86" s="285">
        <f t="shared" si="17"/>
        <v>0</v>
      </c>
      <c r="C86" s="285">
        <f t="shared" si="17"/>
        <v>0</v>
      </c>
      <c r="D86" s="285">
        <f t="shared" si="17"/>
        <v>0</v>
      </c>
      <c r="E86" s="285">
        <f t="shared" si="17"/>
        <v>0</v>
      </c>
      <c r="F86" s="285">
        <f t="shared" si="17"/>
        <v>0</v>
      </c>
      <c r="G86" s="285">
        <f t="shared" si="17"/>
        <v>0</v>
      </c>
      <c r="H86" s="285">
        <f t="shared" si="17"/>
        <v>0</v>
      </c>
      <c r="I86" s="285">
        <f t="shared" si="17"/>
        <v>0</v>
      </c>
      <c r="J86" s="285">
        <f t="shared" si="17"/>
        <v>0</v>
      </c>
      <c r="K86" s="285">
        <f t="shared" si="17"/>
        <v>0</v>
      </c>
      <c r="L86" s="299"/>
    </row>
    <row r="87" spans="1:16">
      <c r="A87" s="6" t="s">
        <v>98</v>
      </c>
      <c r="B87" s="285">
        <f>SUM(B72:B86)</f>
        <v>523557.71951996727</v>
      </c>
      <c r="C87" s="285">
        <f t="shared" ref="C87:K87" si="18">SUM(C72:C86)</f>
        <v>552984.21644581237</v>
      </c>
      <c r="D87" s="285">
        <f t="shared" si="18"/>
        <v>583525.20258857356</v>
      </c>
      <c r="E87" s="285">
        <f t="shared" si="18"/>
        <v>616949.2740379594</v>
      </c>
      <c r="F87" s="285">
        <f t="shared" si="18"/>
        <v>652745.66833391611</v>
      </c>
      <c r="G87" s="285">
        <f t="shared" si="18"/>
        <v>689831.9859483951</v>
      </c>
      <c r="H87" s="285">
        <f t="shared" si="18"/>
        <v>728816.43842554872</v>
      </c>
      <c r="I87" s="285">
        <f t="shared" si="18"/>
        <v>770324.43981158722</v>
      </c>
      <c r="J87" s="285">
        <f t="shared" si="18"/>
        <v>814222.8207325543</v>
      </c>
      <c r="K87" s="285">
        <f t="shared" si="18"/>
        <v>860650.61344822764</v>
      </c>
      <c r="L87" s="56">
        <f>(B87-B70)/$B$19</f>
        <v>-5.7674251069842628E-2</v>
      </c>
      <c r="M87" s="56">
        <f>(K87-K70)/$K$19</f>
        <v>-5.8537356652377505E-2</v>
      </c>
      <c r="P87" s="269"/>
    </row>
    <row r="88" spans="1:16">
      <c r="A88" s="210" t="s">
        <v>275</v>
      </c>
    </row>
    <row r="89" spans="1:16">
      <c r="A89" t="s">
        <v>4</v>
      </c>
      <c r="B89" s="88">
        <f>B72*UF_Assumptions_1!$H4</f>
        <v>170757.43882794236</v>
      </c>
      <c r="C89" s="88">
        <f>C72*UF_Assumptions_1!$H4</f>
        <v>180892.97157506086</v>
      </c>
      <c r="D89" s="88">
        <f>D72*UF_Assumptions_1!$H4</f>
        <v>191418.95051900705</v>
      </c>
      <c r="E89" s="88">
        <f>E72*UF_Assumptions_1!$H4</f>
        <v>202994.66147037374</v>
      </c>
      <c r="F89" s="88">
        <f>F72*UF_Assumptions_1!$H4</f>
        <v>215925.85167703315</v>
      </c>
      <c r="G89" s="88">
        <f>G72*UF_Assumptions_1!$H4</f>
        <v>228738.13847446287</v>
      </c>
      <c r="H89" s="88">
        <f>H72*UF_Assumptions_1!$H4</f>
        <v>242307.27521053332</v>
      </c>
      <c r="I89" s="88">
        <f>I72*UF_Assumptions_1!$H4</f>
        <v>256979.32748095164</v>
      </c>
      <c r="J89" s="88">
        <f>J72*UF_Assumptions_1!$H4</f>
        <v>272539.73230189783</v>
      </c>
      <c r="K89" s="88">
        <f>K72*UF_Assumptions_1!$H4</f>
        <v>289042.26951542229</v>
      </c>
    </row>
    <row r="90" spans="1:16">
      <c r="A90" t="s">
        <v>5</v>
      </c>
      <c r="B90" s="88">
        <f>B73*UF_Assumptions_1!$H5</f>
        <v>130557.89206243469</v>
      </c>
      <c r="C90" s="88">
        <f>C73*UF_Assumptions_1!$H5</f>
        <v>137784.92046873702</v>
      </c>
      <c r="D90" s="88">
        <f>D73*UF_Assumptions_1!$H5</f>
        <v>145389.05694817955</v>
      </c>
      <c r="E90" s="88">
        <f>E73*UF_Assumptions_1!$H5</f>
        <v>153890.28635504231</v>
      </c>
      <c r="F90" s="88">
        <f>F73*UF_Assumptions_1!$H5</f>
        <v>162461.4883278574</v>
      </c>
      <c r="G90" s="88">
        <f>G73*UF_Assumptions_1!$H5</f>
        <v>171613.8469725652</v>
      </c>
      <c r="H90" s="88">
        <f>H73*UF_Assumptions_1!$H5</f>
        <v>181279.27530789637</v>
      </c>
      <c r="I90" s="88">
        <f>I73*UF_Assumptions_1!$H5</f>
        <v>191409.85089222516</v>
      </c>
      <c r="J90" s="88">
        <f>J73*UF_Assumptions_1!$H5</f>
        <v>202106.51619005558</v>
      </c>
      <c r="K90" s="88">
        <f>K73*UF_Assumptions_1!$H5</f>
        <v>213400.89859642429</v>
      </c>
    </row>
    <row r="91" spans="1:16">
      <c r="A91" t="s">
        <v>6</v>
      </c>
      <c r="B91" s="88">
        <f>B74*UF_Assumptions_1!$H6</f>
        <v>15486.29584518865</v>
      </c>
      <c r="C91" s="88">
        <f>C74*UF_Assumptions_1!$H6</f>
        <v>16343.539311773255</v>
      </c>
      <c r="D91" s="88">
        <f>D74*UF_Assumptions_1!$H6</f>
        <v>17245.513947757143</v>
      </c>
      <c r="E91" s="88">
        <f>E74*UF_Assumptions_1!$H6</f>
        <v>18184.885591049773</v>
      </c>
      <c r="F91" s="88">
        <f>F74*UF_Assumptions_1!$H6</f>
        <v>19179.529276576159</v>
      </c>
      <c r="G91" s="88">
        <f>G74*UF_Assumptions_1!$H6</f>
        <v>20240.833142177748</v>
      </c>
      <c r="H91" s="88">
        <f>H74*UF_Assumptions_1!$H6</f>
        <v>21340.318997081631</v>
      </c>
      <c r="I91" s="88">
        <f>I74*UF_Assumptions_1!$H6</f>
        <v>22504.437600993144</v>
      </c>
      <c r="J91" s="88">
        <f>J74*UF_Assumptions_1!$H6</f>
        <v>23732.053773902735</v>
      </c>
      <c r="K91" s="88">
        <f>K74*UF_Assumptions_1!$H6</f>
        <v>25026.63041334075</v>
      </c>
    </row>
    <row r="92" spans="1:16">
      <c r="A92" t="s">
        <v>7</v>
      </c>
      <c r="B92" s="88">
        <f>B75*UF_Assumptions_1!$H7</f>
        <v>26016.484545624979</v>
      </c>
      <c r="C92" s="88">
        <f>C75*UF_Assumptions_1!$H7</f>
        <v>27170.348688307564</v>
      </c>
      <c r="D92" s="88">
        <f>D75*UF_Assumptions_1!$H7</f>
        <v>28370.910951979764</v>
      </c>
      <c r="E92" s="88">
        <f>E75*UF_Assumptions_1!$H7</f>
        <v>29632.452698847683</v>
      </c>
      <c r="F92" s="88">
        <f>F75*UF_Assumptions_1!$H7</f>
        <v>30956.714267181149</v>
      </c>
      <c r="G92" s="88">
        <f>G75*UF_Assumptions_1!$H7</f>
        <v>32298.112882717072</v>
      </c>
      <c r="H92" s="88">
        <f>H75*UF_Assumptions_1!$H7</f>
        <v>33697.165266295866</v>
      </c>
      <c r="I92" s="88">
        <f>I75*UF_Assumptions_1!$H7</f>
        <v>35164.607207651483</v>
      </c>
      <c r="J92" s="88">
        <f>J75*UF_Assumptions_1!$H7</f>
        <v>36695.944972632613</v>
      </c>
      <c r="K92" s="88">
        <f>K75*UF_Assumptions_1!$H7</f>
        <v>38293.959875964356</v>
      </c>
    </row>
    <row r="93" spans="1:16">
      <c r="A93" t="s">
        <v>8</v>
      </c>
      <c r="B93" s="88">
        <f>B76*UF_Assumptions_1!$H8</f>
        <v>28689.635954420595</v>
      </c>
      <c r="C93" s="88">
        <f>C76*UF_Assumptions_1!$H8</f>
        <v>30335.148515759727</v>
      </c>
      <c r="D93" s="88">
        <f>D76*UF_Assumptions_1!$H8</f>
        <v>31948.617271280385</v>
      </c>
      <c r="E93" s="88">
        <f>E76*UF_Assumptions_1!$H8</f>
        <v>33784.762834506182</v>
      </c>
      <c r="F93" s="88">
        <f>F76*UF_Assumptions_1!$H8</f>
        <v>35734.081370261993</v>
      </c>
      <c r="G93" s="88">
        <f>G76*UF_Assumptions_1!$H8</f>
        <v>37782.926230403427</v>
      </c>
      <c r="H93" s="88">
        <f>H76*UF_Assumptions_1!$H8</f>
        <v>39910.890682114885</v>
      </c>
      <c r="I93" s="88">
        <f>I76*UF_Assumptions_1!$H8</f>
        <v>42181.182194971159</v>
      </c>
      <c r="J93" s="88">
        <f>J76*UF_Assumptions_1!$H8</f>
        <v>44580.606980834782</v>
      </c>
      <c r="K93" s="88">
        <f>K76*UF_Assumptions_1!$H8</f>
        <v>47116.508905555907</v>
      </c>
    </row>
    <row r="94" spans="1:16">
      <c r="A94" t="s">
        <v>9</v>
      </c>
      <c r="B94" s="88">
        <f>B77*UF_Assumptions_1!$H9</f>
        <v>21767.388331824965</v>
      </c>
      <c r="C94" s="88">
        <f>C77*UF_Assumptions_1!$H9</f>
        <v>23342.49160396896</v>
      </c>
      <c r="D94" s="88">
        <f>D77*UF_Assumptions_1!$H9</f>
        <v>24980.927501323142</v>
      </c>
      <c r="E94" s="88">
        <f>E77*UF_Assumptions_1!$H9</f>
        <v>26766.516270503449</v>
      </c>
      <c r="F94" s="88">
        <f>F77*UF_Assumptions_1!$H9</f>
        <v>28659.08946201779</v>
      </c>
      <c r="G94" s="88">
        <f>G77*UF_Assumptions_1!$H9</f>
        <v>30732.306407196702</v>
      </c>
      <c r="H94" s="88">
        <f>H77*UF_Assumptions_1!$H9</f>
        <v>32955.040621477521</v>
      </c>
      <c r="I94" s="88">
        <f>I77*UF_Assumptions_1!$H9</f>
        <v>35313.09550158889</v>
      </c>
      <c r="J94" s="88">
        <f>J77*UF_Assumptions_1!$H9</f>
        <v>37839.869419505594</v>
      </c>
      <c r="K94" s="88">
        <f>K77*UF_Assumptions_1!$H9</f>
        <v>40547.433101420633</v>
      </c>
    </row>
    <row r="95" spans="1:16">
      <c r="A95" t="s">
        <v>10</v>
      </c>
      <c r="B95" s="88">
        <f>B78*UF_Assumptions_1!$H10</f>
        <v>18522.992176900549</v>
      </c>
      <c r="C95" s="88">
        <f>C78*UF_Assumptions_1!$H10</f>
        <v>19418.627310929034</v>
      </c>
      <c r="D95" s="88">
        <f>D78*UF_Assumptions_1!$H10</f>
        <v>20296.090333440869</v>
      </c>
      <c r="E95" s="88">
        <f>E78*UF_Assumptions_1!$H10</f>
        <v>21218.882023425394</v>
      </c>
      <c r="F95" s="88">
        <f>F78*UF_Assumptions_1!$H10</f>
        <v>22230.843428114509</v>
      </c>
      <c r="G95" s="88">
        <f>G78*UF_Assumptions_1!$H10</f>
        <v>23327.56505072103</v>
      </c>
      <c r="H95" s="88">
        <f>H78*UF_Assumptions_1!$H10</f>
        <v>24548.053459033508</v>
      </c>
      <c r="I95" s="88">
        <f>I78*UF_Assumptions_1!$H10</f>
        <v>25764.389096072493</v>
      </c>
      <c r="J95" s="88">
        <f>J78*UF_Assumptions_1!$H10</f>
        <v>27040.987079267525</v>
      </c>
      <c r="K95" s="88">
        <f>K78*UF_Assumptions_1!$H10</f>
        <v>28380.83238639211</v>
      </c>
    </row>
    <row r="96" spans="1:16">
      <c r="A96" t="s">
        <v>18</v>
      </c>
      <c r="B96" s="88">
        <f>B79*UF_Assumptions_1!$H11</f>
        <v>30434.055943427102</v>
      </c>
      <c r="C96" s="88">
        <f>C79*UF_Assumptions_1!$H11</f>
        <v>32210.065133524546</v>
      </c>
      <c r="D96" s="88">
        <f>D79*UF_Assumptions_1!$H11</f>
        <v>34116.55204431578</v>
      </c>
      <c r="E96" s="88">
        <f>E79*UF_Assumptions_1!$H11</f>
        <v>36111.424571780313</v>
      </c>
      <c r="F96" s="88">
        <f>F79*UF_Assumptions_1!$H11</f>
        <v>38303.393030072635</v>
      </c>
      <c r="G96" s="88">
        <f>G79*UF_Assumptions_1!$H11</f>
        <v>40614.498318424201</v>
      </c>
      <c r="H96" s="88">
        <f>H79*UF_Assumptions_1!$H11</f>
        <v>43023.819670889126</v>
      </c>
      <c r="I96" s="88">
        <f>I79*UF_Assumptions_1!$H11</f>
        <v>45600.285075559499</v>
      </c>
      <c r="J96" s="88">
        <f>J79*UF_Assumptions_1!$H11</f>
        <v>48331.030295754863</v>
      </c>
      <c r="K96" s="88">
        <f>K79*UF_Assumptions_1!$H11</f>
        <v>51225.292353684505</v>
      </c>
    </row>
    <row r="97" spans="1:16">
      <c r="A97" t="s">
        <v>16</v>
      </c>
      <c r="B97" s="88">
        <f>B80*UF_Assumptions_1!$H12</f>
        <v>10203.843007474117</v>
      </c>
      <c r="C97" s="88">
        <f>C80*UF_Assumptions_1!$H12</f>
        <v>10676.810961007746</v>
      </c>
      <c r="D97" s="88">
        <f>D80*UF_Assumptions_1!$H12</f>
        <v>11180.617885934873</v>
      </c>
      <c r="E97" s="88">
        <f>E80*UF_Assumptions_1!$H12</f>
        <v>11711.332390524436</v>
      </c>
      <c r="F97" s="88">
        <f>F80*UF_Assumptions_1!$H12</f>
        <v>12269.864002303622</v>
      </c>
      <c r="G97" s="88">
        <f>G80*UF_Assumptions_1!$H12</f>
        <v>12862.903537609809</v>
      </c>
      <c r="H97" s="88">
        <f>H80*UF_Assumptions_1!$H12</f>
        <v>13484.418005326192</v>
      </c>
      <c r="I97" s="88">
        <f>I80*UF_Assumptions_1!$H12</f>
        <v>14130.081052469601</v>
      </c>
      <c r="J97" s="88">
        <f>J80*UF_Assumptions_1!$H12</f>
        <v>14806.656514805789</v>
      </c>
      <c r="K97" s="88">
        <f>K80*UF_Assumptions_1!$H12</f>
        <v>15515.624025036452</v>
      </c>
    </row>
    <row r="98" spans="1:16">
      <c r="A98" t="s">
        <v>11</v>
      </c>
      <c r="B98" s="88">
        <f>B81*UF_Assumptions_1!$H13</f>
        <v>6524.743647379607</v>
      </c>
      <c r="C98" s="88">
        <f>C81*UF_Assumptions_1!$H13</f>
        <v>6912.0284026353056</v>
      </c>
      <c r="D98" s="88">
        <f>D81*UF_Assumptions_1!$H13</f>
        <v>7321.1456031753951</v>
      </c>
      <c r="E98" s="88">
        <f>E81*UF_Assumptions_1!$H13</f>
        <v>7756.5540803960139</v>
      </c>
      <c r="F98" s="88">
        <f>F81*UF_Assumptions_1!$H13</f>
        <v>8219.6163068690857</v>
      </c>
      <c r="G98" s="88">
        <f>G81*UF_Assumptions_1!$H13</f>
        <v>8723.7841214080017</v>
      </c>
      <c r="H98" s="88">
        <f>H81*UF_Assumptions_1!$H13</f>
        <v>9215.1145806095192</v>
      </c>
      <c r="I98" s="88">
        <f>I81*UF_Assumptions_1!$H13</f>
        <v>9757.741272490317</v>
      </c>
      <c r="J98" s="88">
        <f>J81*UF_Assumptions_1!$H13</f>
        <v>10332.317902670598</v>
      </c>
      <c r="K98" s="88">
        <f>K81*UF_Assumptions_1!$H13</f>
        <v>10940.725409045381</v>
      </c>
    </row>
    <row r="99" spans="1:16">
      <c r="A99" t="s">
        <v>13</v>
      </c>
      <c r="B99" s="88">
        <f>B82</f>
        <v>13015.934321462773</v>
      </c>
      <c r="C99" s="88">
        <f t="shared" ref="C99:K100" si="19">C82</f>
        <v>13476.024721270978</v>
      </c>
      <c r="D99" s="88">
        <f t="shared" si="19"/>
        <v>13923.220163679234</v>
      </c>
      <c r="E99" s="88">
        <f t="shared" si="19"/>
        <v>14458.753862211928</v>
      </c>
      <c r="F99" s="88">
        <f t="shared" si="19"/>
        <v>15047.036138730071</v>
      </c>
      <c r="G99" s="88">
        <f t="shared" si="19"/>
        <v>15608.734786912868</v>
      </c>
      <c r="H99" s="88">
        <f t="shared" si="19"/>
        <v>16159.948137089295</v>
      </c>
      <c r="I99" s="88">
        <f t="shared" si="19"/>
        <v>16766.700865673727</v>
      </c>
      <c r="J99" s="88">
        <f t="shared" si="19"/>
        <v>17396.231249972214</v>
      </c>
      <c r="K99" s="88">
        <f t="shared" si="19"/>
        <v>18049.393987394586</v>
      </c>
    </row>
    <row r="100" spans="1:16">
      <c r="A100" s="6" t="s">
        <v>71</v>
      </c>
      <c r="B100" s="88">
        <f>B83</f>
        <v>28791.565066927964</v>
      </c>
      <c r="C100" s="88">
        <f t="shared" si="19"/>
        <v>30298.917575967578</v>
      </c>
      <c r="D100" s="88">
        <f t="shared" si="19"/>
        <v>31880.154947029732</v>
      </c>
      <c r="E100" s="88">
        <f t="shared" si="19"/>
        <v>33584.788311616554</v>
      </c>
      <c r="F100" s="88">
        <f t="shared" si="19"/>
        <v>35388.140800757341</v>
      </c>
      <c r="G100" s="88">
        <f t="shared" si="19"/>
        <v>37275.55331184082</v>
      </c>
      <c r="H100" s="88">
        <f t="shared" si="19"/>
        <v>39225.794609276592</v>
      </c>
      <c r="I100" s="88">
        <f t="shared" si="19"/>
        <v>41300.179658613044</v>
      </c>
      <c r="J100" s="88">
        <f t="shared" si="19"/>
        <v>43484.255035020928</v>
      </c>
      <c r="K100" s="88">
        <f t="shared" si="19"/>
        <v>45783.819883571348</v>
      </c>
    </row>
    <row r="101" spans="1:16">
      <c r="A101" s="6" t="s">
        <v>166</v>
      </c>
      <c r="B101" s="88">
        <f>B84*(SUM(B89:B98)/SUM(B72:B81))</f>
        <v>42750.52380312515</v>
      </c>
      <c r="C101" s="88">
        <f t="shared" ref="C101:K101" si="20">C84*(SUM(C89:C98)/SUM(C72:C81))</f>
        <v>45217.653607635351</v>
      </c>
      <c r="D101" s="88">
        <f t="shared" si="20"/>
        <v>47736.78921866219</v>
      </c>
      <c r="E101" s="88">
        <f t="shared" si="20"/>
        <v>50433.486565640851</v>
      </c>
      <c r="F101" s="88">
        <f t="shared" si="20"/>
        <v>53321.052913210573</v>
      </c>
      <c r="G101" s="88">
        <f t="shared" si="20"/>
        <v>56398.22374842767</v>
      </c>
      <c r="H101" s="88">
        <f t="shared" si="20"/>
        <v>59562.43152899063</v>
      </c>
      <c r="I101" s="88">
        <f t="shared" si="20"/>
        <v>62947.601041771013</v>
      </c>
      <c r="J101" s="88">
        <f t="shared" si="20"/>
        <v>66526.566274603698</v>
      </c>
      <c r="K101" s="88">
        <f t="shared" si="20"/>
        <v>70310.508356617574</v>
      </c>
      <c r="N101" s="269">
        <f>K101/(SUM(K89:K98)+K101)</f>
        <v>8.4731803434529518E-2</v>
      </c>
    </row>
    <row r="102" spans="1:16">
      <c r="A102" s="212" t="s">
        <v>218</v>
      </c>
      <c r="B102" s="88">
        <f t="shared" ref="B102:K103" si="21">B68</f>
        <v>0</v>
      </c>
      <c r="C102" s="88">
        <f t="shared" si="21"/>
        <v>0</v>
      </c>
      <c r="D102" s="88">
        <f t="shared" si="21"/>
        <v>0</v>
      </c>
      <c r="E102" s="88">
        <f t="shared" si="21"/>
        <v>0</v>
      </c>
      <c r="F102" s="88">
        <f t="shared" si="21"/>
        <v>0</v>
      </c>
      <c r="G102" s="88">
        <f t="shared" si="21"/>
        <v>0</v>
      </c>
      <c r="H102" s="88">
        <f t="shared" si="21"/>
        <v>0</v>
      </c>
      <c r="I102" s="88">
        <f t="shared" si="21"/>
        <v>0</v>
      </c>
      <c r="J102" s="88">
        <f t="shared" si="21"/>
        <v>0</v>
      </c>
      <c r="K102" s="88">
        <f t="shared" si="21"/>
        <v>0</v>
      </c>
    </row>
    <row r="103" spans="1:16">
      <c r="A103" s="211" t="s">
        <v>276</v>
      </c>
      <c r="B103" s="88">
        <f t="shared" si="21"/>
        <v>0</v>
      </c>
      <c r="C103" s="88">
        <f t="shared" si="21"/>
        <v>0</v>
      </c>
      <c r="D103" s="88">
        <f t="shared" si="21"/>
        <v>0</v>
      </c>
      <c r="E103" s="88">
        <f t="shared" si="21"/>
        <v>0</v>
      </c>
      <c r="F103" s="88">
        <f t="shared" si="21"/>
        <v>0</v>
      </c>
      <c r="G103" s="88">
        <f t="shared" si="21"/>
        <v>0</v>
      </c>
      <c r="H103" s="88">
        <f t="shared" si="21"/>
        <v>0</v>
      </c>
      <c r="I103" s="88">
        <f t="shared" si="21"/>
        <v>0</v>
      </c>
      <c r="J103" s="88">
        <f t="shared" si="21"/>
        <v>0</v>
      </c>
      <c r="K103" s="88">
        <f t="shared" si="21"/>
        <v>0</v>
      </c>
    </row>
    <row r="104" spans="1:16">
      <c r="A104" s="6" t="s">
        <v>98</v>
      </c>
      <c r="B104" s="88">
        <f>SUM(B89:B103)</f>
        <v>543518.79353413358</v>
      </c>
      <c r="C104" s="88">
        <f t="shared" ref="C104:K104" si="22">SUM(C89:C103)</f>
        <v>574079.54787657782</v>
      </c>
      <c r="D104" s="88">
        <f t="shared" si="22"/>
        <v>605808.54733576521</v>
      </c>
      <c r="E104" s="88">
        <f t="shared" si="22"/>
        <v>640528.7870259186</v>
      </c>
      <c r="F104" s="88">
        <f t="shared" si="22"/>
        <v>677696.70100098557</v>
      </c>
      <c r="G104" s="88">
        <f t="shared" si="22"/>
        <v>716217.42698486755</v>
      </c>
      <c r="H104" s="88">
        <f t="shared" si="22"/>
        <v>756709.54607661441</v>
      </c>
      <c r="I104" s="88">
        <f t="shared" si="22"/>
        <v>799819.47894103127</v>
      </c>
      <c r="J104" s="88">
        <f t="shared" si="22"/>
        <v>845412.76799092465</v>
      </c>
      <c r="K104" s="88">
        <f t="shared" si="22"/>
        <v>893633.89680987014</v>
      </c>
      <c r="L104" s="56">
        <f>(B104-B87)/$B$19</f>
        <v>3.8608959351842942E-2</v>
      </c>
      <c r="M104" s="56">
        <f>(K104-K87)/$K$19</f>
        <v>3.8784713716085127E-2</v>
      </c>
      <c r="P104" s="269"/>
    </row>
    <row r="105" spans="1:16" s="6" customFormat="1">
      <c r="A105" s="210" t="s">
        <v>361</v>
      </c>
      <c r="B105" s="285"/>
      <c r="C105" s="285"/>
      <c r="D105" s="285"/>
      <c r="E105" s="285"/>
      <c r="F105" s="285"/>
      <c r="G105" s="285"/>
      <c r="H105" s="285"/>
      <c r="I105" s="285"/>
      <c r="J105" s="285"/>
      <c r="K105" s="285"/>
      <c r="L105" s="299"/>
      <c r="M105" s="299"/>
    </row>
    <row r="106" spans="1:16">
      <c r="A106" t="s">
        <v>4</v>
      </c>
      <c r="B106" s="88">
        <f>B89*UF_Assumptions_1!$I4</f>
        <v>163701.34411711176</v>
      </c>
      <c r="C106" s="88">
        <f>C89*UF_Assumptions_1!$I4</f>
        <v>173418.05306657156</v>
      </c>
      <c r="D106" s="88">
        <f>D89*UF_Assumptions_1!$I4</f>
        <v>183509.07406747006</v>
      </c>
      <c r="E106" s="88">
        <f>E89*UF_Assumptions_1!$I4</f>
        <v>194606.44970660275</v>
      </c>
      <c r="F106" s="88">
        <f>F89*UF_Assumptions_1!$I4</f>
        <v>207003.29304411117</v>
      </c>
      <c r="G106" s="88">
        <f>G89*UF_Assumptions_1!$I4</f>
        <v>219286.14633793768</v>
      </c>
      <c r="H106" s="88">
        <f>H89*UF_Assumptions_1!$I4</f>
        <v>232294.57476981299</v>
      </c>
      <c r="I106" s="88">
        <f>I89*UF_Assumptions_1!$I4</f>
        <v>246360.34369976353</v>
      </c>
      <c r="J106" s="88">
        <f>J89*UF_Assumptions_1!$I4</f>
        <v>261277.75638573107</v>
      </c>
      <c r="K106" s="88">
        <f>K89*UF_Assumptions_1!$I4</f>
        <v>277098.37036155129</v>
      </c>
    </row>
    <row r="107" spans="1:16">
      <c r="A107" t="s">
        <v>5</v>
      </c>
      <c r="B107" s="88">
        <f>B90*UF_Assumptions_1!$I5</f>
        <v>123004.95380599919</v>
      </c>
      <c r="C107" s="88">
        <f>C90*UF_Assumptions_1!$I5</f>
        <v>129813.88952967607</v>
      </c>
      <c r="D107" s="88">
        <f>D90*UF_Assumptions_1!$I5</f>
        <v>136978.11715017905</v>
      </c>
      <c r="E107" s="88">
        <f>E90*UF_Assumptions_1!$I5</f>
        <v>144987.53974399122</v>
      </c>
      <c r="F107" s="88">
        <f>F90*UF_Assumptions_1!$I5</f>
        <v>153062.886902812</v>
      </c>
      <c r="G107" s="88">
        <f>G90*UF_Assumptions_1!$I5</f>
        <v>161685.77008914479</v>
      </c>
      <c r="H107" s="88">
        <f>H90*UF_Assumptions_1!$I5</f>
        <v>170792.04123921864</v>
      </c>
      <c r="I107" s="88">
        <f>I90*UF_Assumptions_1!$I5</f>
        <v>180336.55028492719</v>
      </c>
      <c r="J107" s="88">
        <f>J90*UF_Assumptions_1!$I5</f>
        <v>190414.40004224906</v>
      </c>
      <c r="K107" s="88">
        <f>K90*UF_Assumptions_1!$I5</f>
        <v>201055.38822164084</v>
      </c>
    </row>
    <row r="108" spans="1:16">
      <c r="A108" t="s">
        <v>6</v>
      </c>
      <c r="B108" s="88">
        <f>B91*UF_Assumptions_1!$I6</f>
        <v>14846.36606553379</v>
      </c>
      <c r="C108" s="88">
        <f>C91*UF_Assumptions_1!$I6</f>
        <v>15668.186237344358</v>
      </c>
      <c r="D108" s="88">
        <f>D91*UF_Assumptions_1!$I6</f>
        <v>16532.889182548894</v>
      </c>
      <c r="E108" s="88">
        <f>E91*UF_Assumptions_1!$I6</f>
        <v>17433.443803700426</v>
      </c>
      <c r="F108" s="88">
        <f>F91*UF_Assumptions_1!$I6</f>
        <v>18386.986497687139</v>
      </c>
      <c r="G108" s="88">
        <f>G91*UF_Assumptions_1!$I6</f>
        <v>19404.434817995611</v>
      </c>
      <c r="H108" s="88">
        <f>H91*UF_Assumptions_1!$I6</f>
        <v>20458.487358962069</v>
      </c>
      <c r="I108" s="88">
        <f>I91*UF_Assumptions_1!$I6</f>
        <v>21574.501873352096</v>
      </c>
      <c r="J108" s="88">
        <f>J91*UF_Assumptions_1!$I6</f>
        <v>22751.390089435594</v>
      </c>
      <c r="K108" s="88">
        <f>K91*UF_Assumptions_1!$I6</f>
        <v>23992.471809759092</v>
      </c>
    </row>
    <row r="109" spans="1:16">
      <c r="A109" t="s">
        <v>7</v>
      </c>
      <c r="B109" s="88">
        <f>B92*UF_Assumptions_1!$I7</f>
        <v>24941.422865988505</v>
      </c>
      <c r="C109" s="88">
        <f>C92*UF_Assumptions_1!$I7</f>
        <v>26047.606657348864</v>
      </c>
      <c r="D109" s="88">
        <f>D92*UF_Assumptions_1!$I7</f>
        <v>27198.558894676877</v>
      </c>
      <c r="E109" s="88">
        <f>E92*UF_Assumptions_1!$I7</f>
        <v>28407.970801060739</v>
      </c>
      <c r="F109" s="88">
        <f>F92*UF_Assumptions_1!$I7</f>
        <v>29677.510799943349</v>
      </c>
      <c r="G109" s="88">
        <f>G92*UF_Assumptions_1!$I7</f>
        <v>30963.479703361514</v>
      </c>
      <c r="H109" s="88">
        <f>H92*UF_Assumptions_1!$I7</f>
        <v>32304.71998697146</v>
      </c>
      <c r="I109" s="88">
        <f>I92*UF_Assumptions_1!$I7</f>
        <v>33711.523812694038</v>
      </c>
      <c r="J109" s="88">
        <f>J92*UF_Assumptions_1!$I7</f>
        <v>35179.583137929614</v>
      </c>
      <c r="K109" s="88">
        <f>K92*UF_Assumptions_1!$I7</f>
        <v>36711.56434700697</v>
      </c>
    </row>
    <row r="110" spans="1:16">
      <c r="A110" t="s">
        <v>8</v>
      </c>
      <c r="B110" s="88">
        <f>B93*UF_Assumptions_1!$I8</f>
        <v>27504.113438370092</v>
      </c>
      <c r="C110" s="88">
        <f>C93*UF_Assumptions_1!$I8</f>
        <v>29081.629591702836</v>
      </c>
      <c r="D110" s="88">
        <f>D93*UF_Assumptions_1!$I8</f>
        <v>30628.426063836818</v>
      </c>
      <c r="E110" s="88">
        <f>E93*UF_Assumptions_1!$I8</f>
        <v>32388.697819831017</v>
      </c>
      <c r="F110" s="88">
        <f>F93*UF_Assumptions_1!$I8</f>
        <v>34257.465977786131</v>
      </c>
      <c r="G110" s="88">
        <f>G93*UF_Assumptions_1!$I8</f>
        <v>36221.647800813713</v>
      </c>
      <c r="H110" s="88">
        <f>H93*UF_Assumptions_1!$I8</f>
        <v>38261.679809782887</v>
      </c>
      <c r="I110" s="88">
        <f>I93*UF_Assumptions_1!$I8</f>
        <v>40438.157594547054</v>
      </c>
      <c r="J110" s="88">
        <f>J93*UF_Assumptions_1!$I8</f>
        <v>42738.432564995448</v>
      </c>
      <c r="K110" s="88">
        <f>K93*UF_Assumptions_1!$I8</f>
        <v>45169.545121352719</v>
      </c>
    </row>
    <row r="111" spans="1:16">
      <c r="A111" t="s">
        <v>9</v>
      </c>
      <c r="B111" s="88">
        <f>B94*UF_Assumptions_1!$I9</f>
        <v>20867.90919503873</v>
      </c>
      <c r="C111" s="88">
        <f>C94*UF_Assumptions_1!$I9</f>
        <v>22377.925534842485</v>
      </c>
      <c r="D111" s="88">
        <f>D94*UF_Assumptions_1!$I9</f>
        <v>23948.657448412952</v>
      </c>
      <c r="E111" s="88">
        <f>E94*UF_Assumptions_1!$I9</f>
        <v>25660.461534733106</v>
      </c>
      <c r="F111" s="88">
        <f>F94*UF_Assumptions_1!$I9</f>
        <v>27474.829198112537</v>
      </c>
      <c r="G111" s="88">
        <f>G94*UF_Assumptions_1!$I9</f>
        <v>29462.375994912018</v>
      </c>
      <c r="H111" s="88">
        <f>H94*UF_Assumptions_1!$I9</f>
        <v>31593.261659339776</v>
      </c>
      <c r="I111" s="88">
        <f>I94*UF_Assumptions_1!$I9</f>
        <v>33853.87622480595</v>
      </c>
      <c r="J111" s="88">
        <f>J94*UF_Assumptions_1!$I9</f>
        <v>36276.237964840075</v>
      </c>
      <c r="K111" s="88">
        <f>K94*UF_Assumptions_1!$I9</f>
        <v>38871.918815141275</v>
      </c>
    </row>
    <row r="112" spans="1:16">
      <c r="A112" t="s">
        <v>10</v>
      </c>
      <c r="B112" s="88">
        <f>B95*UF_Assumptions_1!$I10</f>
        <v>17757.579038677741</v>
      </c>
      <c r="C112" s="88">
        <f>C95*UF_Assumptions_1!$I10</f>
        <v>18616.204444899169</v>
      </c>
      <c r="D112" s="88">
        <f>D95*UF_Assumptions_1!$I10</f>
        <v>19457.408653536819</v>
      </c>
      <c r="E112" s="88">
        <f>E95*UF_Assumptions_1!$I10</f>
        <v>20342.06844363112</v>
      </c>
      <c r="F112" s="88">
        <f>F95*UF_Assumptions_1!$I10</f>
        <v>21312.213248327851</v>
      </c>
      <c r="G112" s="88">
        <f>G95*UF_Assumptions_1!$I10</f>
        <v>22363.615781507619</v>
      </c>
      <c r="H112" s="88">
        <f>H95*UF_Assumptions_1!$I10</f>
        <v>23533.670768812877</v>
      </c>
      <c r="I112" s="88">
        <f>I95*UF_Assumptions_1!$I10</f>
        <v>24699.744587016823</v>
      </c>
      <c r="J112" s="88">
        <f>J95*UF_Assumptions_1!$I10</f>
        <v>25923.590571008142</v>
      </c>
      <c r="K112" s="88">
        <f>K95*UF_Assumptions_1!$I10</f>
        <v>27208.070352332947</v>
      </c>
    </row>
    <row r="113" spans="1:16">
      <c r="A113" t="s">
        <v>18</v>
      </c>
      <c r="B113" s="88">
        <f>B96*UF_Assumptions_1!$I11</f>
        <v>30129.715383992829</v>
      </c>
      <c r="C113" s="88">
        <f>C96*UF_Assumptions_1!$I11</f>
        <v>31887.964482189302</v>
      </c>
      <c r="D113" s="88">
        <f>D96*UF_Assumptions_1!$I11</f>
        <v>33775.386523872621</v>
      </c>
      <c r="E113" s="88">
        <f>E96*UF_Assumptions_1!$I11</f>
        <v>35750.310326062507</v>
      </c>
      <c r="F113" s="88">
        <f>F96*UF_Assumptions_1!$I11</f>
        <v>37920.359099771907</v>
      </c>
      <c r="G113" s="88">
        <f>G96*UF_Assumptions_1!$I11</f>
        <v>40208.353335239961</v>
      </c>
      <c r="H113" s="88">
        <f>H96*UF_Assumptions_1!$I11</f>
        <v>42593.581474180231</v>
      </c>
      <c r="I113" s="88">
        <f>I96*UF_Assumptions_1!$I11</f>
        <v>45144.282224803901</v>
      </c>
      <c r="J113" s="88">
        <f>J96*UF_Assumptions_1!$I11</f>
        <v>47847.719992797312</v>
      </c>
      <c r="K113" s="88">
        <f>K96*UF_Assumptions_1!$I11</f>
        <v>50713.039430147663</v>
      </c>
    </row>
    <row r="114" spans="1:16">
      <c r="A114" t="s">
        <v>16</v>
      </c>
      <c r="B114" s="88">
        <f>B97*UF_Assumptions_1!$I12</f>
        <v>9782.1964709051808</v>
      </c>
      <c r="C114" s="88">
        <f>C97*UF_Assumptions_1!$I12</f>
        <v>10235.620288041428</v>
      </c>
      <c r="D114" s="88">
        <f>D97*UF_Assumptions_1!$I12</f>
        <v>10718.608738513452</v>
      </c>
      <c r="E114" s="88">
        <f>E97*UF_Assumptions_1!$I12</f>
        <v>11227.392884844547</v>
      </c>
      <c r="F114" s="88">
        <f>F97*UF_Assumptions_1!$I12</f>
        <v>11762.844670768076</v>
      </c>
      <c r="G114" s="88">
        <f>G97*UF_Assumptions_1!$I12</f>
        <v>12331.378432521382</v>
      </c>
      <c r="H114" s="88">
        <f>H97*UF_Assumptions_1!$I12</f>
        <v>12927.210476218879</v>
      </c>
      <c r="I114" s="88">
        <f>I97*UF_Assumptions_1!$I12</f>
        <v>13546.193223849727</v>
      </c>
      <c r="J114" s="88">
        <f>J97*UF_Assumptions_1!$I12</f>
        <v>14194.81101374695</v>
      </c>
      <c r="K114" s="88">
        <f>K97*UF_Assumptions_1!$I12</f>
        <v>14874.482336746029</v>
      </c>
    </row>
    <row r="115" spans="1:16">
      <c r="A115" t="s">
        <v>11</v>
      </c>
      <c r="B115" s="88">
        <f>B98*UF_Assumptions_1!$I13</f>
        <v>6255.1260573301888</v>
      </c>
      <c r="C115" s="88">
        <f>C98*UF_Assumptions_1!$I13</f>
        <v>6626.4073053190768</v>
      </c>
      <c r="D115" s="88">
        <f>D98*UF_Assumptions_1!$I13</f>
        <v>7018.6188311509068</v>
      </c>
      <c r="E115" s="88">
        <f>E98*UF_Assumptions_1!$I13</f>
        <v>7436.0352169331964</v>
      </c>
      <c r="F115" s="88">
        <f>F98*UF_Assumptions_1!$I13</f>
        <v>7879.962634700837</v>
      </c>
      <c r="G115" s="88">
        <f>G98*UF_Assumptions_1!$I13</f>
        <v>8363.2970619861317</v>
      </c>
      <c r="H115" s="88">
        <f>H98*UF_Assumptions_1!$I13</f>
        <v>8834.3246033280357</v>
      </c>
      <c r="I115" s="88">
        <f>I98*UF_Assumptions_1!$I13</f>
        <v>9354.5286976528132</v>
      </c>
      <c r="J115" s="88">
        <f>J98*UF_Assumptions_1!$I13</f>
        <v>9905.3624844816713</v>
      </c>
      <c r="K115" s="88">
        <f>K98*UF_Assumptions_1!$I13</f>
        <v>10488.629176979019</v>
      </c>
    </row>
    <row r="116" spans="1:16">
      <c r="A116" t="s">
        <v>13</v>
      </c>
      <c r="B116" s="88">
        <f>B99</f>
        <v>13015.934321462773</v>
      </c>
      <c r="C116" s="88">
        <f t="shared" ref="C116:K116" si="23">C99</f>
        <v>13476.024721270978</v>
      </c>
      <c r="D116" s="88">
        <f t="shared" si="23"/>
        <v>13923.220163679234</v>
      </c>
      <c r="E116" s="88">
        <f t="shared" si="23"/>
        <v>14458.753862211928</v>
      </c>
      <c r="F116" s="88">
        <f t="shared" si="23"/>
        <v>15047.036138730071</v>
      </c>
      <c r="G116" s="88">
        <f t="shared" si="23"/>
        <v>15608.734786912868</v>
      </c>
      <c r="H116" s="88">
        <f t="shared" si="23"/>
        <v>16159.948137089295</v>
      </c>
      <c r="I116" s="88">
        <f t="shared" si="23"/>
        <v>16766.700865673727</v>
      </c>
      <c r="J116" s="88">
        <f t="shared" si="23"/>
        <v>17396.231249972214</v>
      </c>
      <c r="K116" s="88">
        <f t="shared" si="23"/>
        <v>18049.393987394586</v>
      </c>
    </row>
    <row r="117" spans="1:16">
      <c r="A117" s="6" t="s">
        <v>71</v>
      </c>
      <c r="B117" s="88">
        <f>B100</f>
        <v>28791.565066927964</v>
      </c>
      <c r="C117" s="88">
        <f t="shared" ref="C117:K117" si="24">C100</f>
        <v>30298.917575967578</v>
      </c>
      <c r="D117" s="88">
        <f t="shared" si="24"/>
        <v>31880.154947029732</v>
      </c>
      <c r="E117" s="88">
        <f t="shared" si="24"/>
        <v>33584.788311616554</v>
      </c>
      <c r="F117" s="88">
        <f t="shared" si="24"/>
        <v>35388.140800757341</v>
      </c>
      <c r="G117" s="88">
        <f t="shared" si="24"/>
        <v>37275.55331184082</v>
      </c>
      <c r="H117" s="88">
        <f t="shared" si="24"/>
        <v>39225.794609276592</v>
      </c>
      <c r="I117" s="88">
        <f t="shared" si="24"/>
        <v>41300.179658613044</v>
      </c>
      <c r="J117" s="88">
        <f t="shared" si="24"/>
        <v>43484.255035020928</v>
      </c>
      <c r="K117" s="88">
        <f t="shared" si="24"/>
        <v>45783.819883571348</v>
      </c>
    </row>
    <row r="118" spans="1:16">
      <c r="A118" s="6" t="s">
        <v>166</v>
      </c>
      <c r="B118" s="285">
        <f>B101*(SUM(B106:B115)/SUM(B89:B98))</f>
        <v>40871.757691219311</v>
      </c>
      <c r="C118" s="285">
        <f t="shared" ref="C118:K118" si="25">C101*(SUM(C106:C115)/SUM(C89:C98))</f>
        <v>43230.906971564014</v>
      </c>
      <c r="D118" s="285">
        <f t="shared" si="25"/>
        <v>45639.834386870396</v>
      </c>
      <c r="E118" s="285">
        <f t="shared" si="25"/>
        <v>48218.031493861949</v>
      </c>
      <c r="F118" s="285">
        <f t="shared" si="25"/>
        <v>50979.688970020718</v>
      </c>
      <c r="G118" s="285">
        <f t="shared" si="25"/>
        <v>53922.344234075696</v>
      </c>
      <c r="H118" s="285">
        <f t="shared" si="25"/>
        <v>56948.151668563893</v>
      </c>
      <c r="I118" s="285">
        <f t="shared" si="25"/>
        <v>60185.522266036685</v>
      </c>
      <c r="J118" s="285">
        <f t="shared" si="25"/>
        <v>63608.275554139676</v>
      </c>
      <c r="K118" s="285">
        <f t="shared" si="25"/>
        <v>67227.110166549377</v>
      </c>
      <c r="L118" s="299"/>
      <c r="M118" s="299"/>
      <c r="N118" s="261">
        <f>K118/(SUM(K106:K115)+K118)</f>
        <v>8.4731803434529518E-2</v>
      </c>
    </row>
    <row r="119" spans="1:16">
      <c r="A119" s="212" t="s">
        <v>218</v>
      </c>
      <c r="B119" s="88">
        <f t="shared" ref="B119:K120" si="26">B136</f>
        <v>0</v>
      </c>
      <c r="C119" s="88">
        <f t="shared" si="26"/>
        <v>0</v>
      </c>
      <c r="D119" s="88">
        <f t="shared" si="26"/>
        <v>0</v>
      </c>
      <c r="E119" s="88">
        <f t="shared" si="26"/>
        <v>0</v>
      </c>
      <c r="F119" s="88">
        <f t="shared" si="26"/>
        <v>0</v>
      </c>
      <c r="G119" s="88">
        <f t="shared" si="26"/>
        <v>0</v>
      </c>
      <c r="H119" s="88">
        <f t="shared" si="26"/>
        <v>0</v>
      </c>
      <c r="I119" s="88">
        <f t="shared" si="26"/>
        <v>0</v>
      </c>
      <c r="J119" s="88">
        <f t="shared" si="26"/>
        <v>0</v>
      </c>
      <c r="K119" s="88">
        <f t="shared" si="26"/>
        <v>0</v>
      </c>
    </row>
    <row r="120" spans="1:16">
      <c r="A120" s="211" t="s">
        <v>276</v>
      </c>
      <c r="B120" s="88">
        <f t="shared" si="26"/>
        <v>0</v>
      </c>
      <c r="C120" s="88">
        <f t="shared" si="26"/>
        <v>0</v>
      </c>
      <c r="D120" s="88">
        <f t="shared" si="26"/>
        <v>0</v>
      </c>
      <c r="E120" s="88">
        <f t="shared" si="26"/>
        <v>0</v>
      </c>
      <c r="F120" s="88">
        <f t="shared" si="26"/>
        <v>0</v>
      </c>
      <c r="G120" s="88">
        <f t="shared" si="26"/>
        <v>0</v>
      </c>
      <c r="H120" s="88">
        <f t="shared" si="26"/>
        <v>0</v>
      </c>
      <c r="I120" s="88">
        <f t="shared" si="26"/>
        <v>0</v>
      </c>
      <c r="J120" s="88">
        <f t="shared" si="26"/>
        <v>0</v>
      </c>
      <c r="K120" s="88">
        <f t="shared" si="26"/>
        <v>0</v>
      </c>
    </row>
    <row r="121" spans="1:16">
      <c r="A121" s="6" t="s">
        <v>98</v>
      </c>
      <c r="B121" s="88">
        <f>SUM(B106:B120)</f>
        <v>521469.98351855803</v>
      </c>
      <c r="C121" s="88">
        <f t="shared" ref="C121:K121" si="27">SUM(C106:C120)</f>
        <v>550779.33640673768</v>
      </c>
      <c r="D121" s="88">
        <f t="shared" si="27"/>
        <v>581208.95505177788</v>
      </c>
      <c r="E121" s="88">
        <f t="shared" si="27"/>
        <v>614501.943949081</v>
      </c>
      <c r="F121" s="88">
        <f t="shared" si="27"/>
        <v>650153.2179835292</v>
      </c>
      <c r="G121" s="88">
        <f t="shared" si="27"/>
        <v>687097.13168825</v>
      </c>
      <c r="H121" s="88">
        <f t="shared" si="27"/>
        <v>725927.44656155747</v>
      </c>
      <c r="I121" s="88">
        <f t="shared" si="27"/>
        <v>767272.10501373676</v>
      </c>
      <c r="J121" s="88">
        <f t="shared" si="27"/>
        <v>810998.04608634778</v>
      </c>
      <c r="K121" s="88">
        <f t="shared" si="27"/>
        <v>857243.80401017331</v>
      </c>
      <c r="L121" s="56">
        <f>(B121-B104)/$B$19</f>
        <v>-4.2647084472694816E-2</v>
      </c>
      <c r="M121" s="56">
        <f>(K121-K104)/$K$19</f>
        <v>-4.2790746932713147E-2</v>
      </c>
      <c r="P121" s="269"/>
    </row>
    <row r="122" spans="1:16">
      <c r="A122" s="210" t="s">
        <v>315</v>
      </c>
      <c r="B122" s="285"/>
      <c r="C122" s="285"/>
      <c r="D122" s="285"/>
      <c r="E122" s="285"/>
      <c r="F122" s="285"/>
      <c r="G122" s="285"/>
      <c r="H122" s="285"/>
      <c r="I122" s="285"/>
      <c r="J122" s="285"/>
      <c r="K122" s="285"/>
      <c r="L122" s="299"/>
    </row>
    <row r="123" spans="1:16">
      <c r="A123" s="6" t="s">
        <v>4</v>
      </c>
      <c r="B123" s="285">
        <f>B106</f>
        <v>163701.34411711176</v>
      </c>
      <c r="C123" s="285">
        <f t="shared" ref="C123:K123" si="28">C106</f>
        <v>173418.05306657156</v>
      </c>
      <c r="D123" s="285">
        <f t="shared" si="28"/>
        <v>183509.07406747006</v>
      </c>
      <c r="E123" s="285">
        <f t="shared" si="28"/>
        <v>194606.44970660275</v>
      </c>
      <c r="F123" s="285">
        <f t="shared" si="28"/>
        <v>207003.29304411117</v>
      </c>
      <c r="G123" s="285">
        <f t="shared" si="28"/>
        <v>219286.14633793768</v>
      </c>
      <c r="H123" s="285">
        <f t="shared" si="28"/>
        <v>232294.57476981299</v>
      </c>
      <c r="I123" s="285">
        <f t="shared" si="28"/>
        <v>246360.34369976353</v>
      </c>
      <c r="J123" s="285">
        <f t="shared" si="28"/>
        <v>261277.75638573107</v>
      </c>
      <c r="K123" s="285">
        <f t="shared" si="28"/>
        <v>277098.37036155129</v>
      </c>
      <c r="L123" s="299"/>
    </row>
    <row r="124" spans="1:16">
      <c r="A124" s="6" t="s">
        <v>5</v>
      </c>
      <c r="B124" s="285">
        <f t="shared" ref="B124:K134" si="29">B107</f>
        <v>123004.95380599919</v>
      </c>
      <c r="C124" s="285">
        <f t="shared" si="29"/>
        <v>129813.88952967607</v>
      </c>
      <c r="D124" s="285">
        <f t="shared" si="29"/>
        <v>136978.11715017905</v>
      </c>
      <c r="E124" s="285">
        <f t="shared" si="29"/>
        <v>144987.53974399122</v>
      </c>
      <c r="F124" s="285">
        <f t="shared" si="29"/>
        <v>153062.886902812</v>
      </c>
      <c r="G124" s="285">
        <f t="shared" si="29"/>
        <v>161685.77008914479</v>
      </c>
      <c r="H124" s="285">
        <f t="shared" si="29"/>
        <v>170792.04123921864</v>
      </c>
      <c r="I124" s="285">
        <f t="shared" si="29"/>
        <v>180336.55028492719</v>
      </c>
      <c r="J124" s="285">
        <f t="shared" si="29"/>
        <v>190414.40004224906</v>
      </c>
      <c r="K124" s="285">
        <f t="shared" si="29"/>
        <v>201055.38822164084</v>
      </c>
      <c r="L124" s="299"/>
    </row>
    <row r="125" spans="1:16">
      <c r="A125" s="6" t="s">
        <v>6</v>
      </c>
      <c r="B125" s="285">
        <f t="shared" si="29"/>
        <v>14846.36606553379</v>
      </c>
      <c r="C125" s="285">
        <f t="shared" si="29"/>
        <v>15668.186237344358</v>
      </c>
      <c r="D125" s="285">
        <f t="shared" si="29"/>
        <v>16532.889182548894</v>
      </c>
      <c r="E125" s="285">
        <f t="shared" si="29"/>
        <v>17433.443803700426</v>
      </c>
      <c r="F125" s="285">
        <f t="shared" si="29"/>
        <v>18386.986497687139</v>
      </c>
      <c r="G125" s="285">
        <f t="shared" si="29"/>
        <v>19404.434817995611</v>
      </c>
      <c r="H125" s="285">
        <f t="shared" si="29"/>
        <v>20458.487358962069</v>
      </c>
      <c r="I125" s="285">
        <f t="shared" si="29"/>
        <v>21574.501873352096</v>
      </c>
      <c r="J125" s="285">
        <f t="shared" si="29"/>
        <v>22751.390089435594</v>
      </c>
      <c r="K125" s="285">
        <f t="shared" si="29"/>
        <v>23992.471809759092</v>
      </c>
      <c r="L125" s="299"/>
    </row>
    <row r="126" spans="1:16">
      <c r="A126" s="6" t="s">
        <v>7</v>
      </c>
      <c r="B126" s="285">
        <f t="shared" si="29"/>
        <v>24941.422865988505</v>
      </c>
      <c r="C126" s="285">
        <f t="shared" si="29"/>
        <v>26047.606657348864</v>
      </c>
      <c r="D126" s="285">
        <f t="shared" si="29"/>
        <v>27198.558894676877</v>
      </c>
      <c r="E126" s="285">
        <f t="shared" si="29"/>
        <v>28407.970801060739</v>
      </c>
      <c r="F126" s="285">
        <f t="shared" si="29"/>
        <v>29677.510799943349</v>
      </c>
      <c r="G126" s="285">
        <f t="shared" si="29"/>
        <v>30963.479703361514</v>
      </c>
      <c r="H126" s="285">
        <f t="shared" si="29"/>
        <v>32304.71998697146</v>
      </c>
      <c r="I126" s="285">
        <f t="shared" si="29"/>
        <v>33711.523812694038</v>
      </c>
      <c r="J126" s="285">
        <f t="shared" si="29"/>
        <v>35179.583137929614</v>
      </c>
      <c r="K126" s="285">
        <f t="shared" si="29"/>
        <v>36711.56434700697</v>
      </c>
      <c r="L126" s="299"/>
    </row>
    <row r="127" spans="1:16">
      <c r="A127" s="6" t="s">
        <v>8</v>
      </c>
      <c r="B127" s="285">
        <f t="shared" si="29"/>
        <v>27504.113438370092</v>
      </c>
      <c r="C127" s="285">
        <f t="shared" si="29"/>
        <v>29081.629591702836</v>
      </c>
      <c r="D127" s="285">
        <f t="shared" si="29"/>
        <v>30628.426063836818</v>
      </c>
      <c r="E127" s="285">
        <f t="shared" si="29"/>
        <v>32388.697819831017</v>
      </c>
      <c r="F127" s="285">
        <f t="shared" si="29"/>
        <v>34257.465977786131</v>
      </c>
      <c r="G127" s="285">
        <f t="shared" si="29"/>
        <v>36221.647800813713</v>
      </c>
      <c r="H127" s="285">
        <f t="shared" si="29"/>
        <v>38261.679809782887</v>
      </c>
      <c r="I127" s="285">
        <f t="shared" si="29"/>
        <v>40438.157594547054</v>
      </c>
      <c r="J127" s="285">
        <f t="shared" si="29"/>
        <v>42738.432564995448</v>
      </c>
      <c r="K127" s="285">
        <f t="shared" si="29"/>
        <v>45169.545121352719</v>
      </c>
      <c r="L127" s="299"/>
    </row>
    <row r="128" spans="1:16">
      <c r="A128" s="6" t="s">
        <v>9</v>
      </c>
      <c r="B128" s="285">
        <f t="shared" si="29"/>
        <v>20867.90919503873</v>
      </c>
      <c r="C128" s="285">
        <f t="shared" si="29"/>
        <v>22377.925534842485</v>
      </c>
      <c r="D128" s="285">
        <f t="shared" si="29"/>
        <v>23948.657448412952</v>
      </c>
      <c r="E128" s="285">
        <f t="shared" si="29"/>
        <v>25660.461534733106</v>
      </c>
      <c r="F128" s="285">
        <f t="shared" si="29"/>
        <v>27474.829198112537</v>
      </c>
      <c r="G128" s="285">
        <f t="shared" si="29"/>
        <v>29462.375994912018</v>
      </c>
      <c r="H128" s="285">
        <f t="shared" si="29"/>
        <v>31593.261659339776</v>
      </c>
      <c r="I128" s="285">
        <f t="shared" si="29"/>
        <v>33853.87622480595</v>
      </c>
      <c r="J128" s="285">
        <f t="shared" si="29"/>
        <v>36276.237964840075</v>
      </c>
      <c r="K128" s="285">
        <f t="shared" si="29"/>
        <v>38871.918815141275</v>
      </c>
      <c r="L128" s="299"/>
    </row>
    <row r="129" spans="1:16">
      <c r="A129" s="6" t="s">
        <v>10</v>
      </c>
      <c r="B129" s="285">
        <f t="shared" si="29"/>
        <v>17757.579038677741</v>
      </c>
      <c r="C129" s="285">
        <f t="shared" si="29"/>
        <v>18616.204444899169</v>
      </c>
      <c r="D129" s="285">
        <f t="shared" si="29"/>
        <v>19457.408653536819</v>
      </c>
      <c r="E129" s="285">
        <f t="shared" si="29"/>
        <v>20342.06844363112</v>
      </c>
      <c r="F129" s="285">
        <f t="shared" si="29"/>
        <v>21312.213248327851</v>
      </c>
      <c r="G129" s="285">
        <f t="shared" si="29"/>
        <v>22363.615781507619</v>
      </c>
      <c r="H129" s="285">
        <f t="shared" si="29"/>
        <v>23533.670768812877</v>
      </c>
      <c r="I129" s="285">
        <f t="shared" si="29"/>
        <v>24699.744587016823</v>
      </c>
      <c r="J129" s="285">
        <f t="shared" si="29"/>
        <v>25923.590571008142</v>
      </c>
      <c r="K129" s="285">
        <f t="shared" si="29"/>
        <v>27208.070352332947</v>
      </c>
      <c r="L129" s="299"/>
    </row>
    <row r="130" spans="1:16">
      <c r="A130" s="6" t="s">
        <v>18</v>
      </c>
      <c r="B130" s="285">
        <f t="shared" si="29"/>
        <v>30129.715383992829</v>
      </c>
      <c r="C130" s="285">
        <f t="shared" si="29"/>
        <v>31887.964482189302</v>
      </c>
      <c r="D130" s="285">
        <f t="shared" si="29"/>
        <v>33775.386523872621</v>
      </c>
      <c r="E130" s="285">
        <f t="shared" si="29"/>
        <v>35750.310326062507</v>
      </c>
      <c r="F130" s="285">
        <f t="shared" si="29"/>
        <v>37920.359099771907</v>
      </c>
      <c r="G130" s="285">
        <f t="shared" si="29"/>
        <v>40208.353335239961</v>
      </c>
      <c r="H130" s="285">
        <f t="shared" si="29"/>
        <v>42593.581474180231</v>
      </c>
      <c r="I130" s="285">
        <f t="shared" si="29"/>
        <v>45144.282224803901</v>
      </c>
      <c r="J130" s="285">
        <f t="shared" si="29"/>
        <v>47847.719992797312</v>
      </c>
      <c r="K130" s="285">
        <f t="shared" si="29"/>
        <v>50713.039430147663</v>
      </c>
      <c r="L130" s="299"/>
    </row>
    <row r="131" spans="1:16">
      <c r="A131" s="6" t="s">
        <v>16</v>
      </c>
      <c r="B131" s="285">
        <f t="shared" si="29"/>
        <v>9782.1964709051808</v>
      </c>
      <c r="C131" s="285">
        <f t="shared" si="29"/>
        <v>10235.620288041428</v>
      </c>
      <c r="D131" s="285">
        <f t="shared" si="29"/>
        <v>10718.608738513452</v>
      </c>
      <c r="E131" s="285">
        <f t="shared" si="29"/>
        <v>11227.392884844547</v>
      </c>
      <c r="F131" s="285">
        <f t="shared" si="29"/>
        <v>11762.844670768076</v>
      </c>
      <c r="G131" s="285">
        <f t="shared" si="29"/>
        <v>12331.378432521382</v>
      </c>
      <c r="H131" s="285">
        <f t="shared" si="29"/>
        <v>12927.210476218879</v>
      </c>
      <c r="I131" s="285">
        <f t="shared" si="29"/>
        <v>13546.193223849727</v>
      </c>
      <c r="J131" s="285">
        <f t="shared" si="29"/>
        <v>14194.81101374695</v>
      </c>
      <c r="K131" s="285">
        <f t="shared" si="29"/>
        <v>14874.482336746029</v>
      </c>
      <c r="L131" s="299"/>
    </row>
    <row r="132" spans="1:16">
      <c r="A132" s="6" t="s">
        <v>11</v>
      </c>
      <c r="B132" s="285">
        <f t="shared" si="29"/>
        <v>6255.1260573301888</v>
      </c>
      <c r="C132" s="285">
        <f t="shared" si="29"/>
        <v>6626.4073053190768</v>
      </c>
      <c r="D132" s="285">
        <f t="shared" si="29"/>
        <v>7018.6188311509068</v>
      </c>
      <c r="E132" s="285">
        <f t="shared" si="29"/>
        <v>7436.0352169331964</v>
      </c>
      <c r="F132" s="285">
        <f t="shared" si="29"/>
        <v>7879.962634700837</v>
      </c>
      <c r="G132" s="285">
        <f t="shared" si="29"/>
        <v>8363.2970619861317</v>
      </c>
      <c r="H132" s="285">
        <f t="shared" si="29"/>
        <v>8834.3246033280357</v>
      </c>
      <c r="I132" s="285">
        <f t="shared" si="29"/>
        <v>9354.5286976528132</v>
      </c>
      <c r="J132" s="285">
        <f t="shared" si="29"/>
        <v>9905.3624844816713</v>
      </c>
      <c r="K132" s="285">
        <f t="shared" si="29"/>
        <v>10488.629176979019</v>
      </c>
      <c r="L132" s="299"/>
    </row>
    <row r="133" spans="1:16">
      <c r="A133" s="6" t="s">
        <v>13</v>
      </c>
      <c r="B133" s="285">
        <f>B116</f>
        <v>13015.934321462773</v>
      </c>
      <c r="C133" s="285">
        <f t="shared" si="29"/>
        <v>13476.024721270978</v>
      </c>
      <c r="D133" s="285">
        <f t="shared" si="29"/>
        <v>13923.220163679234</v>
      </c>
      <c r="E133" s="285">
        <f t="shared" si="29"/>
        <v>14458.753862211928</v>
      </c>
      <c r="F133" s="285">
        <f t="shared" si="29"/>
        <v>15047.036138730071</v>
      </c>
      <c r="G133" s="285">
        <f t="shared" si="29"/>
        <v>15608.734786912868</v>
      </c>
      <c r="H133" s="285">
        <f t="shared" si="29"/>
        <v>16159.948137089295</v>
      </c>
      <c r="I133" s="285">
        <f t="shared" si="29"/>
        <v>16766.700865673727</v>
      </c>
      <c r="J133" s="285">
        <f t="shared" si="29"/>
        <v>17396.231249972214</v>
      </c>
      <c r="K133" s="285">
        <f t="shared" si="29"/>
        <v>18049.393987394586</v>
      </c>
      <c r="L133" s="299"/>
    </row>
    <row r="134" spans="1:16">
      <c r="A134" s="6" t="s">
        <v>71</v>
      </c>
      <c r="B134" s="285">
        <f>B117</f>
        <v>28791.565066927964</v>
      </c>
      <c r="C134" s="285">
        <f t="shared" si="29"/>
        <v>30298.917575967578</v>
      </c>
      <c r="D134" s="285">
        <f t="shared" si="29"/>
        <v>31880.154947029732</v>
      </c>
      <c r="E134" s="285">
        <f t="shared" si="29"/>
        <v>33584.788311616554</v>
      </c>
      <c r="F134" s="285">
        <f t="shared" si="29"/>
        <v>35388.140800757341</v>
      </c>
      <c r="G134" s="285">
        <f t="shared" si="29"/>
        <v>37275.55331184082</v>
      </c>
      <c r="H134" s="285">
        <f t="shared" si="29"/>
        <v>39225.794609276592</v>
      </c>
      <c r="I134" s="285">
        <f t="shared" si="29"/>
        <v>41300.179658613044</v>
      </c>
      <c r="J134" s="285">
        <f t="shared" si="29"/>
        <v>43484.255035020928</v>
      </c>
      <c r="K134" s="285">
        <f t="shared" si="29"/>
        <v>45783.819883571348</v>
      </c>
      <c r="L134" s="299"/>
    </row>
    <row r="135" spans="1:16">
      <c r="A135" s="6" t="s">
        <v>166</v>
      </c>
      <c r="B135" s="285">
        <f>SUM(B123:B132)*(UF_Assumptions_1!B$18/(1-UF_Assumptions_1!B$18))</f>
        <v>13570.847209451998</v>
      </c>
      <c r="C135" s="285">
        <f>SUM(C123:C132)*(UF_Assumptions_1!C$18/(1-UF_Assumptions_1!C$18))</f>
        <v>14343.50991148253</v>
      </c>
      <c r="D135" s="285">
        <f>SUM(D123:D132)*(UF_Assumptions_1!D$18/(1-UF_Assumptions_1!D$18))</f>
        <v>15147.394192397893</v>
      </c>
      <c r="E135" s="285">
        <f>SUM(E123:E132)*(UF_Assumptions_1!E$18/(1-UF_Assumptions_1!E$18))</f>
        <v>16028.052689115175</v>
      </c>
      <c r="F135" s="285">
        <f>SUM(F123:F132)*(UF_Assumptions_1!F$18/(1-UF_Assumptions_1!F$18))</f>
        <v>16971.289239402711</v>
      </c>
      <c r="G135" s="285">
        <f>SUM(G123:G132)*(UF_Assumptions_1!G$18/(1-UF_Assumptions_1!G$18))</f>
        <v>17947.128846043932</v>
      </c>
      <c r="H135" s="285">
        <f>SUM(H123:H132)*(UF_Assumptions_1!H$18/(1-UF_Assumptions_1!H$18))</f>
        <v>18977.120169483336</v>
      </c>
      <c r="I135" s="285">
        <f>SUM(I123:I132)*(UF_Assumptions_1!I$18/(1-UF_Assumptions_1!I$18))</f>
        <v>20072.774295569485</v>
      </c>
      <c r="J135" s="285">
        <f>SUM(J123:J132)*(UF_Assumptions_1!J$18/(1-UF_Assumptions_1!J$18))</f>
        <v>21232.245904553041</v>
      </c>
      <c r="K135" s="285">
        <f>SUM(K123:K132)*(UF_Assumptions_1!K$18/(1-UF_Assumptions_1!K$18))</f>
        <v>22459.282885752309</v>
      </c>
      <c r="L135" s="299"/>
      <c r="N135" s="269">
        <f>K135/(SUM(K123:K132)+K135)</f>
        <v>3.0000000000000002E-2</v>
      </c>
    </row>
    <row r="136" spans="1:16">
      <c r="A136" s="212" t="s">
        <v>218</v>
      </c>
      <c r="B136" s="285">
        <f t="shared" ref="B136:K136" si="30">B102</f>
        <v>0</v>
      </c>
      <c r="C136" s="285">
        <f t="shared" si="30"/>
        <v>0</v>
      </c>
      <c r="D136" s="285">
        <f t="shared" si="30"/>
        <v>0</v>
      </c>
      <c r="E136" s="285">
        <f t="shared" si="30"/>
        <v>0</v>
      </c>
      <c r="F136" s="285">
        <f t="shared" si="30"/>
        <v>0</v>
      </c>
      <c r="G136" s="285">
        <f t="shared" si="30"/>
        <v>0</v>
      </c>
      <c r="H136" s="285">
        <f t="shared" si="30"/>
        <v>0</v>
      </c>
      <c r="I136" s="285">
        <f t="shared" si="30"/>
        <v>0</v>
      </c>
      <c r="J136" s="285">
        <f t="shared" si="30"/>
        <v>0</v>
      </c>
      <c r="K136" s="285">
        <f t="shared" si="30"/>
        <v>0</v>
      </c>
      <c r="L136" s="299"/>
    </row>
    <row r="137" spans="1:16">
      <c r="A137" s="280" t="s">
        <v>276</v>
      </c>
      <c r="B137" s="285">
        <f t="shared" ref="B137:K137" si="31">B103</f>
        <v>0</v>
      </c>
      <c r="C137" s="285">
        <f t="shared" si="31"/>
        <v>0</v>
      </c>
      <c r="D137" s="285">
        <f t="shared" si="31"/>
        <v>0</v>
      </c>
      <c r="E137" s="285">
        <f t="shared" si="31"/>
        <v>0</v>
      </c>
      <c r="F137" s="285">
        <f t="shared" si="31"/>
        <v>0</v>
      </c>
      <c r="G137" s="285">
        <f t="shared" si="31"/>
        <v>0</v>
      </c>
      <c r="H137" s="285">
        <f t="shared" si="31"/>
        <v>0</v>
      </c>
      <c r="I137" s="285">
        <f t="shared" si="31"/>
        <v>0</v>
      </c>
      <c r="J137" s="285">
        <f t="shared" si="31"/>
        <v>0</v>
      </c>
      <c r="K137" s="285">
        <f t="shared" si="31"/>
        <v>0</v>
      </c>
      <c r="L137" s="299"/>
    </row>
    <row r="138" spans="1:16">
      <c r="A138" s="6" t="s">
        <v>98</v>
      </c>
      <c r="B138" s="285">
        <f>SUM(B123:B137)</f>
        <v>494169.07303679071</v>
      </c>
      <c r="C138" s="285">
        <f t="shared" ref="C138:K138" si="32">SUM(C123:C137)</f>
        <v>521891.93934665615</v>
      </c>
      <c r="D138" s="285">
        <f t="shared" si="32"/>
        <v>550716.51485730545</v>
      </c>
      <c r="E138" s="285">
        <f t="shared" si="32"/>
        <v>582311.96514433424</v>
      </c>
      <c r="F138" s="285">
        <f t="shared" si="32"/>
        <v>616144.81825291121</v>
      </c>
      <c r="G138" s="285">
        <f t="shared" si="32"/>
        <v>651121.9163002182</v>
      </c>
      <c r="H138" s="285">
        <f t="shared" si="32"/>
        <v>687956.415062477</v>
      </c>
      <c r="I138" s="285">
        <f t="shared" si="32"/>
        <v>727159.35704326956</v>
      </c>
      <c r="J138" s="285">
        <f t="shared" si="32"/>
        <v>768622.01643676125</v>
      </c>
      <c r="K138" s="285">
        <f t="shared" si="32"/>
        <v>812475.97672937624</v>
      </c>
      <c r="L138" s="56">
        <f>(B138-B121)/$B$19</f>
        <v>-5.2805762972012157E-2</v>
      </c>
      <c r="M138" s="56">
        <f>(K138-K121)/$K$19</f>
        <v>-5.2642041295260393E-2</v>
      </c>
      <c r="P138" s="269"/>
    </row>
    <row r="139" spans="1:16">
      <c r="A139" s="210" t="s">
        <v>336</v>
      </c>
    </row>
    <row r="140" spans="1:16">
      <c r="A140" t="s">
        <v>4</v>
      </c>
      <c r="B140" s="88">
        <f>B123</f>
        <v>163701.34411711176</v>
      </c>
      <c r="C140" s="88">
        <f t="shared" ref="C140:K140" si="33">C123</f>
        <v>173418.05306657156</v>
      </c>
      <c r="D140" s="88">
        <f t="shared" si="33"/>
        <v>183509.07406747006</v>
      </c>
      <c r="E140" s="88">
        <f t="shared" si="33"/>
        <v>194606.44970660275</v>
      </c>
      <c r="F140" s="88">
        <f t="shared" si="33"/>
        <v>207003.29304411117</v>
      </c>
      <c r="G140" s="88">
        <f t="shared" si="33"/>
        <v>219286.14633793768</v>
      </c>
      <c r="H140" s="88">
        <f t="shared" si="33"/>
        <v>232294.57476981299</v>
      </c>
      <c r="I140" s="88">
        <f t="shared" si="33"/>
        <v>246360.34369976353</v>
      </c>
      <c r="J140" s="88">
        <f t="shared" si="33"/>
        <v>261277.75638573107</v>
      </c>
      <c r="K140" s="88">
        <f t="shared" si="33"/>
        <v>277098.37036155129</v>
      </c>
    </row>
    <row r="141" spans="1:16">
      <c r="A141" t="s">
        <v>5</v>
      </c>
      <c r="B141" s="88">
        <f t="shared" ref="B141:K152" si="34">B124</f>
        <v>123004.95380599919</v>
      </c>
      <c r="C141" s="88">
        <f t="shared" si="34"/>
        <v>129813.88952967607</v>
      </c>
      <c r="D141" s="88">
        <f t="shared" si="34"/>
        <v>136978.11715017905</v>
      </c>
      <c r="E141" s="88">
        <f t="shared" si="34"/>
        <v>144987.53974399122</v>
      </c>
      <c r="F141" s="88">
        <f t="shared" si="34"/>
        <v>153062.886902812</v>
      </c>
      <c r="G141" s="88">
        <f t="shared" si="34"/>
        <v>161685.77008914479</v>
      </c>
      <c r="H141" s="88">
        <f t="shared" si="34"/>
        <v>170792.04123921864</v>
      </c>
      <c r="I141" s="88">
        <f t="shared" si="34"/>
        <v>180336.55028492719</v>
      </c>
      <c r="J141" s="88">
        <f t="shared" si="34"/>
        <v>190414.40004224906</v>
      </c>
      <c r="K141" s="88">
        <f t="shared" si="34"/>
        <v>201055.38822164084</v>
      </c>
    </row>
    <row r="142" spans="1:16">
      <c r="A142" t="s">
        <v>6</v>
      </c>
      <c r="B142" s="88">
        <f t="shared" si="34"/>
        <v>14846.36606553379</v>
      </c>
      <c r="C142" s="88">
        <f t="shared" si="34"/>
        <v>15668.186237344358</v>
      </c>
      <c r="D142" s="88">
        <f t="shared" si="34"/>
        <v>16532.889182548894</v>
      </c>
      <c r="E142" s="88">
        <f t="shared" si="34"/>
        <v>17433.443803700426</v>
      </c>
      <c r="F142" s="88">
        <f t="shared" si="34"/>
        <v>18386.986497687139</v>
      </c>
      <c r="G142" s="88">
        <f t="shared" si="34"/>
        <v>19404.434817995611</v>
      </c>
      <c r="H142" s="88">
        <f t="shared" si="34"/>
        <v>20458.487358962069</v>
      </c>
      <c r="I142" s="88">
        <f t="shared" si="34"/>
        <v>21574.501873352096</v>
      </c>
      <c r="J142" s="88">
        <f t="shared" si="34"/>
        <v>22751.390089435594</v>
      </c>
      <c r="K142" s="88">
        <f t="shared" si="34"/>
        <v>23992.471809759092</v>
      </c>
    </row>
    <row r="143" spans="1:16">
      <c r="A143" t="s">
        <v>7</v>
      </c>
      <c r="B143" s="88">
        <f t="shared" si="34"/>
        <v>24941.422865988505</v>
      </c>
      <c r="C143" s="88">
        <f t="shared" si="34"/>
        <v>26047.606657348864</v>
      </c>
      <c r="D143" s="88">
        <f t="shared" si="34"/>
        <v>27198.558894676877</v>
      </c>
      <c r="E143" s="88">
        <f t="shared" si="34"/>
        <v>28407.970801060739</v>
      </c>
      <c r="F143" s="88">
        <f t="shared" si="34"/>
        <v>29677.510799943349</v>
      </c>
      <c r="G143" s="88">
        <f t="shared" si="34"/>
        <v>30963.479703361514</v>
      </c>
      <c r="H143" s="88">
        <f t="shared" si="34"/>
        <v>32304.71998697146</v>
      </c>
      <c r="I143" s="88">
        <f t="shared" si="34"/>
        <v>33711.523812694038</v>
      </c>
      <c r="J143" s="88">
        <f t="shared" si="34"/>
        <v>35179.583137929614</v>
      </c>
      <c r="K143" s="88">
        <f t="shared" si="34"/>
        <v>36711.56434700697</v>
      </c>
    </row>
    <row r="144" spans="1:16">
      <c r="A144" t="s">
        <v>8</v>
      </c>
      <c r="B144" s="88">
        <f t="shared" si="34"/>
        <v>27504.113438370092</v>
      </c>
      <c r="C144" s="88">
        <f t="shared" si="34"/>
        <v>29081.629591702836</v>
      </c>
      <c r="D144" s="88">
        <f t="shared" si="34"/>
        <v>30628.426063836818</v>
      </c>
      <c r="E144" s="88">
        <f t="shared" si="34"/>
        <v>32388.697819831017</v>
      </c>
      <c r="F144" s="88">
        <f t="shared" si="34"/>
        <v>34257.465977786131</v>
      </c>
      <c r="G144" s="88">
        <f t="shared" si="34"/>
        <v>36221.647800813713</v>
      </c>
      <c r="H144" s="88">
        <f t="shared" si="34"/>
        <v>38261.679809782887</v>
      </c>
      <c r="I144" s="88">
        <f t="shared" si="34"/>
        <v>40438.157594547054</v>
      </c>
      <c r="J144" s="88">
        <f t="shared" si="34"/>
        <v>42738.432564995448</v>
      </c>
      <c r="K144" s="88">
        <f t="shared" si="34"/>
        <v>45169.545121352719</v>
      </c>
    </row>
    <row r="145" spans="1:16">
      <c r="A145" t="s">
        <v>9</v>
      </c>
      <c r="B145" s="88">
        <f t="shared" si="34"/>
        <v>20867.90919503873</v>
      </c>
      <c r="C145" s="88">
        <f t="shared" si="34"/>
        <v>22377.925534842485</v>
      </c>
      <c r="D145" s="88">
        <f t="shared" si="34"/>
        <v>23948.657448412952</v>
      </c>
      <c r="E145" s="88">
        <f t="shared" si="34"/>
        <v>25660.461534733106</v>
      </c>
      <c r="F145" s="88">
        <f t="shared" si="34"/>
        <v>27474.829198112537</v>
      </c>
      <c r="G145" s="88">
        <f t="shared" si="34"/>
        <v>29462.375994912018</v>
      </c>
      <c r="H145" s="88">
        <f t="shared" si="34"/>
        <v>31593.261659339776</v>
      </c>
      <c r="I145" s="88">
        <f t="shared" si="34"/>
        <v>33853.87622480595</v>
      </c>
      <c r="J145" s="88">
        <f t="shared" si="34"/>
        <v>36276.237964840075</v>
      </c>
      <c r="K145" s="88">
        <f t="shared" si="34"/>
        <v>38871.918815141275</v>
      </c>
    </row>
    <row r="146" spans="1:16">
      <c r="A146" t="s">
        <v>10</v>
      </c>
      <c r="B146" s="88">
        <f t="shared" si="34"/>
        <v>17757.579038677741</v>
      </c>
      <c r="C146" s="88">
        <f t="shared" si="34"/>
        <v>18616.204444899169</v>
      </c>
      <c r="D146" s="88">
        <f t="shared" si="34"/>
        <v>19457.408653536819</v>
      </c>
      <c r="E146" s="88">
        <f t="shared" si="34"/>
        <v>20342.06844363112</v>
      </c>
      <c r="F146" s="88">
        <f t="shared" si="34"/>
        <v>21312.213248327851</v>
      </c>
      <c r="G146" s="88">
        <f t="shared" si="34"/>
        <v>22363.615781507619</v>
      </c>
      <c r="H146" s="88">
        <f t="shared" si="34"/>
        <v>23533.670768812877</v>
      </c>
      <c r="I146" s="88">
        <f t="shared" si="34"/>
        <v>24699.744587016823</v>
      </c>
      <c r="J146" s="88">
        <f t="shared" si="34"/>
        <v>25923.590571008142</v>
      </c>
      <c r="K146" s="88">
        <f t="shared" si="34"/>
        <v>27208.070352332947</v>
      </c>
    </row>
    <row r="147" spans="1:16">
      <c r="A147" t="s">
        <v>18</v>
      </c>
      <c r="B147" s="88">
        <f t="shared" si="34"/>
        <v>30129.715383992829</v>
      </c>
      <c r="C147" s="88">
        <f t="shared" si="34"/>
        <v>31887.964482189302</v>
      </c>
      <c r="D147" s="88">
        <f t="shared" si="34"/>
        <v>33775.386523872621</v>
      </c>
      <c r="E147" s="88">
        <f t="shared" si="34"/>
        <v>35750.310326062507</v>
      </c>
      <c r="F147" s="88">
        <f t="shared" si="34"/>
        <v>37920.359099771907</v>
      </c>
      <c r="G147" s="88">
        <f t="shared" si="34"/>
        <v>40208.353335239961</v>
      </c>
      <c r="H147" s="88">
        <f t="shared" si="34"/>
        <v>42593.581474180231</v>
      </c>
      <c r="I147" s="88">
        <f t="shared" si="34"/>
        <v>45144.282224803901</v>
      </c>
      <c r="J147" s="88">
        <f t="shared" si="34"/>
        <v>47847.719992797312</v>
      </c>
      <c r="K147" s="88">
        <f t="shared" si="34"/>
        <v>50713.039430147663</v>
      </c>
    </row>
    <row r="148" spans="1:16">
      <c r="A148" t="s">
        <v>16</v>
      </c>
      <c r="B148" s="88">
        <f t="shared" si="34"/>
        <v>9782.1964709051808</v>
      </c>
      <c r="C148" s="88">
        <f t="shared" si="34"/>
        <v>10235.620288041428</v>
      </c>
      <c r="D148" s="88">
        <f t="shared" si="34"/>
        <v>10718.608738513452</v>
      </c>
      <c r="E148" s="88">
        <f t="shared" si="34"/>
        <v>11227.392884844547</v>
      </c>
      <c r="F148" s="88">
        <f t="shared" si="34"/>
        <v>11762.844670768076</v>
      </c>
      <c r="G148" s="88">
        <f t="shared" si="34"/>
        <v>12331.378432521382</v>
      </c>
      <c r="H148" s="88">
        <f t="shared" si="34"/>
        <v>12927.210476218879</v>
      </c>
      <c r="I148" s="88">
        <f t="shared" si="34"/>
        <v>13546.193223849727</v>
      </c>
      <c r="J148" s="88">
        <f t="shared" si="34"/>
        <v>14194.81101374695</v>
      </c>
      <c r="K148" s="88">
        <f t="shared" si="34"/>
        <v>14874.482336746029</v>
      </c>
    </row>
    <row r="149" spans="1:16">
      <c r="A149" t="s">
        <v>11</v>
      </c>
      <c r="B149" s="88">
        <f t="shared" si="34"/>
        <v>6255.1260573301888</v>
      </c>
      <c r="C149" s="88">
        <f t="shared" si="34"/>
        <v>6626.4073053190768</v>
      </c>
      <c r="D149" s="88">
        <f t="shared" si="34"/>
        <v>7018.6188311509068</v>
      </c>
      <c r="E149" s="88">
        <f t="shared" si="34"/>
        <v>7436.0352169331964</v>
      </c>
      <c r="F149" s="88">
        <f t="shared" si="34"/>
        <v>7879.962634700837</v>
      </c>
      <c r="G149" s="88">
        <f t="shared" si="34"/>
        <v>8363.2970619861317</v>
      </c>
      <c r="H149" s="88">
        <f t="shared" si="34"/>
        <v>8834.3246033280357</v>
      </c>
      <c r="I149" s="88">
        <f t="shared" si="34"/>
        <v>9354.5286976528132</v>
      </c>
      <c r="J149" s="88">
        <f t="shared" si="34"/>
        <v>9905.3624844816713</v>
      </c>
      <c r="K149" s="88">
        <f t="shared" si="34"/>
        <v>10488.629176979019</v>
      </c>
    </row>
    <row r="150" spans="1:16">
      <c r="A150" t="s">
        <v>13</v>
      </c>
      <c r="B150" s="88">
        <f t="shared" si="34"/>
        <v>13015.934321462773</v>
      </c>
      <c r="C150" s="88">
        <f t="shared" si="34"/>
        <v>13476.024721270978</v>
      </c>
      <c r="D150" s="88">
        <f t="shared" si="34"/>
        <v>13923.220163679234</v>
      </c>
      <c r="E150" s="88">
        <f t="shared" si="34"/>
        <v>14458.753862211928</v>
      </c>
      <c r="F150" s="88">
        <f t="shared" si="34"/>
        <v>15047.036138730071</v>
      </c>
      <c r="G150" s="88">
        <f t="shared" si="34"/>
        <v>15608.734786912868</v>
      </c>
      <c r="H150" s="88">
        <f t="shared" si="34"/>
        <v>16159.948137089295</v>
      </c>
      <c r="I150" s="88">
        <f t="shared" si="34"/>
        <v>16766.700865673727</v>
      </c>
      <c r="J150" s="88">
        <f t="shared" si="34"/>
        <v>17396.231249972214</v>
      </c>
      <c r="K150" s="88">
        <f t="shared" si="34"/>
        <v>18049.393987394586</v>
      </c>
    </row>
    <row r="151" spans="1:16">
      <c r="A151" s="6" t="s">
        <v>71</v>
      </c>
      <c r="B151" s="88">
        <f t="shared" si="34"/>
        <v>28791.565066927964</v>
      </c>
      <c r="C151" s="88">
        <f t="shared" si="34"/>
        <v>30298.917575967578</v>
      </c>
      <c r="D151" s="88">
        <f t="shared" si="34"/>
        <v>31880.154947029732</v>
      </c>
      <c r="E151" s="88">
        <f t="shared" si="34"/>
        <v>33584.788311616554</v>
      </c>
      <c r="F151" s="88">
        <f t="shared" si="34"/>
        <v>35388.140800757341</v>
      </c>
      <c r="G151" s="88">
        <f t="shared" si="34"/>
        <v>37275.55331184082</v>
      </c>
      <c r="H151" s="88">
        <f t="shared" si="34"/>
        <v>39225.794609276592</v>
      </c>
      <c r="I151" s="88">
        <f t="shared" si="34"/>
        <v>41300.179658613044</v>
      </c>
      <c r="J151" s="88">
        <f t="shared" si="34"/>
        <v>43484.255035020928</v>
      </c>
      <c r="K151" s="88">
        <f t="shared" si="34"/>
        <v>45783.819883571348</v>
      </c>
    </row>
    <row r="152" spans="1:16">
      <c r="A152" s="6" t="s">
        <v>166</v>
      </c>
      <c r="B152" s="88">
        <f t="shared" si="34"/>
        <v>13570.847209451998</v>
      </c>
      <c r="C152" s="88">
        <f t="shared" si="34"/>
        <v>14343.50991148253</v>
      </c>
      <c r="D152" s="88">
        <f t="shared" si="34"/>
        <v>15147.394192397893</v>
      </c>
      <c r="E152" s="88">
        <f t="shared" si="34"/>
        <v>16028.052689115175</v>
      </c>
      <c r="F152" s="88">
        <f t="shared" si="34"/>
        <v>16971.289239402711</v>
      </c>
      <c r="G152" s="88">
        <f t="shared" si="34"/>
        <v>17947.128846043932</v>
      </c>
      <c r="H152" s="88">
        <f t="shared" si="34"/>
        <v>18977.120169483336</v>
      </c>
      <c r="I152" s="88">
        <f t="shared" si="34"/>
        <v>20072.774295569485</v>
      </c>
      <c r="J152" s="88">
        <f t="shared" si="34"/>
        <v>21232.245904553041</v>
      </c>
      <c r="K152" s="88">
        <f t="shared" si="34"/>
        <v>22459.282885752309</v>
      </c>
      <c r="N152" s="269">
        <f>K152/(SUM(K140:K149)+K152)</f>
        <v>3.0000000000000002E-2</v>
      </c>
    </row>
    <row r="153" spans="1:16">
      <c r="A153" s="212" t="s">
        <v>218</v>
      </c>
      <c r="B153" s="88">
        <f>UF_Calculations_1!B16</f>
        <v>2085.3611888863684</v>
      </c>
      <c r="C153" s="88">
        <f>UF_Calculations_1!C16</f>
        <v>2085.3611888863684</v>
      </c>
      <c r="D153" s="88">
        <f>UF_Calculations_1!D16</f>
        <v>2085.3611888863684</v>
      </c>
      <c r="E153" s="88">
        <f>UF_Calculations_1!E16</f>
        <v>2085.3611888863684</v>
      </c>
      <c r="F153" s="88">
        <f>UF_Calculations_1!F16</f>
        <v>2085.3611888863684</v>
      </c>
      <c r="G153" s="88">
        <f>UF_Calculations_1!G16</f>
        <v>2085.3611888863684</v>
      </c>
      <c r="H153" s="88">
        <f>UF_Calculations_1!H16</f>
        <v>2085.3611888863684</v>
      </c>
      <c r="I153" s="88">
        <f>UF_Calculations_1!I16</f>
        <v>2085.3611888863684</v>
      </c>
      <c r="J153" s="88">
        <f>UF_Calculations_1!J16</f>
        <v>2085.3611888863684</v>
      </c>
      <c r="K153" s="88">
        <f>UF_Calculations_1!K16</f>
        <v>2085.3611888863684</v>
      </c>
    </row>
    <row r="154" spans="1:16">
      <c r="A154" s="211" t="s">
        <v>276</v>
      </c>
      <c r="B154" s="88">
        <f t="shared" ref="B154:K154" si="35">B120</f>
        <v>0</v>
      </c>
      <c r="C154" s="88">
        <f t="shared" si="35"/>
        <v>0</v>
      </c>
      <c r="D154" s="88">
        <f t="shared" si="35"/>
        <v>0</v>
      </c>
      <c r="E154" s="88">
        <f t="shared" si="35"/>
        <v>0</v>
      </c>
      <c r="F154" s="88">
        <f t="shared" si="35"/>
        <v>0</v>
      </c>
      <c r="G154" s="88">
        <f t="shared" si="35"/>
        <v>0</v>
      </c>
      <c r="H154" s="88">
        <f t="shared" si="35"/>
        <v>0</v>
      </c>
      <c r="I154" s="88">
        <f t="shared" si="35"/>
        <v>0</v>
      </c>
      <c r="J154" s="88">
        <f t="shared" si="35"/>
        <v>0</v>
      </c>
      <c r="K154" s="88">
        <f t="shared" si="35"/>
        <v>0</v>
      </c>
    </row>
    <row r="155" spans="1:16">
      <c r="A155" s="6" t="s">
        <v>98</v>
      </c>
      <c r="B155" s="88">
        <f>SUM(B140:B154)</f>
        <v>496254.43422567711</v>
      </c>
      <c r="C155" s="88">
        <f t="shared" ref="C155:K155" si="36">SUM(C140:C154)</f>
        <v>523977.30053554254</v>
      </c>
      <c r="D155" s="88">
        <f t="shared" si="36"/>
        <v>552801.87604619178</v>
      </c>
      <c r="E155" s="88">
        <f t="shared" si="36"/>
        <v>584397.32633322058</v>
      </c>
      <c r="F155" s="88">
        <f t="shared" si="36"/>
        <v>618230.17944179755</v>
      </c>
      <c r="G155" s="88">
        <f t="shared" si="36"/>
        <v>653207.27748910454</v>
      </c>
      <c r="H155" s="88">
        <f t="shared" si="36"/>
        <v>690041.77625136334</v>
      </c>
      <c r="I155" s="88">
        <f t="shared" si="36"/>
        <v>729244.71823215589</v>
      </c>
      <c r="J155" s="88">
        <f t="shared" si="36"/>
        <v>770707.37762564758</v>
      </c>
      <c r="K155" s="88">
        <f t="shared" si="36"/>
        <v>814561.33791826258</v>
      </c>
      <c r="L155" s="56">
        <f>(B155-B138)/$B$19</f>
        <v>4.0335317287278965E-3</v>
      </c>
      <c r="M155" s="56">
        <f>(K155-K138)/$K$19</f>
        <v>2.4521554091140019E-3</v>
      </c>
      <c r="P155" s="269"/>
    </row>
    <row r="156" spans="1:16">
      <c r="A156" s="210" t="s">
        <v>276</v>
      </c>
    </row>
    <row r="157" spans="1:16">
      <c r="A157" t="s">
        <v>4</v>
      </c>
      <c r="B157" s="88">
        <f>B140</f>
        <v>163701.34411711176</v>
      </c>
      <c r="C157" s="88">
        <f t="shared" ref="C157:K157" si="37">C140</f>
        <v>173418.05306657156</v>
      </c>
      <c r="D157" s="88">
        <f t="shared" si="37"/>
        <v>183509.07406747006</v>
      </c>
      <c r="E157" s="88">
        <f t="shared" si="37"/>
        <v>194606.44970660275</v>
      </c>
      <c r="F157" s="88">
        <f t="shared" si="37"/>
        <v>207003.29304411117</v>
      </c>
      <c r="G157" s="88">
        <f t="shared" si="37"/>
        <v>219286.14633793768</v>
      </c>
      <c r="H157" s="88">
        <f t="shared" si="37"/>
        <v>232294.57476981299</v>
      </c>
      <c r="I157" s="88">
        <f t="shared" si="37"/>
        <v>246360.34369976353</v>
      </c>
      <c r="J157" s="88">
        <f t="shared" si="37"/>
        <v>261277.75638573107</v>
      </c>
      <c r="K157" s="88">
        <f t="shared" si="37"/>
        <v>277098.37036155129</v>
      </c>
      <c r="O157" s="13"/>
    </row>
    <row r="158" spans="1:16">
      <c r="A158" t="s">
        <v>5</v>
      </c>
      <c r="B158" s="88">
        <f t="shared" ref="B158:K170" si="38">B141</f>
        <v>123004.95380599919</v>
      </c>
      <c r="C158" s="88">
        <f t="shared" si="38"/>
        <v>129813.88952967607</v>
      </c>
      <c r="D158" s="88">
        <f t="shared" si="38"/>
        <v>136978.11715017905</v>
      </c>
      <c r="E158" s="88">
        <f t="shared" si="38"/>
        <v>144987.53974399122</v>
      </c>
      <c r="F158" s="88">
        <f t="shared" si="38"/>
        <v>153062.886902812</v>
      </c>
      <c r="G158" s="88">
        <f t="shared" si="38"/>
        <v>161685.77008914479</v>
      </c>
      <c r="H158" s="88">
        <f t="shared" si="38"/>
        <v>170792.04123921864</v>
      </c>
      <c r="I158" s="88">
        <f t="shared" si="38"/>
        <v>180336.55028492719</v>
      </c>
      <c r="J158" s="88">
        <f t="shared" si="38"/>
        <v>190414.40004224906</v>
      </c>
      <c r="K158" s="88">
        <f t="shared" si="38"/>
        <v>201055.38822164084</v>
      </c>
      <c r="O158" s="13"/>
    </row>
    <row r="159" spans="1:16">
      <c r="A159" t="s">
        <v>6</v>
      </c>
      <c r="B159" s="88">
        <f t="shared" si="38"/>
        <v>14846.36606553379</v>
      </c>
      <c r="C159" s="88">
        <f t="shared" si="38"/>
        <v>15668.186237344358</v>
      </c>
      <c r="D159" s="88">
        <f t="shared" si="38"/>
        <v>16532.889182548894</v>
      </c>
      <c r="E159" s="88">
        <f t="shared" si="38"/>
        <v>17433.443803700426</v>
      </c>
      <c r="F159" s="88">
        <f t="shared" si="38"/>
        <v>18386.986497687139</v>
      </c>
      <c r="G159" s="88">
        <f t="shared" si="38"/>
        <v>19404.434817995611</v>
      </c>
      <c r="H159" s="88">
        <f t="shared" si="38"/>
        <v>20458.487358962069</v>
      </c>
      <c r="I159" s="88">
        <f t="shared" si="38"/>
        <v>21574.501873352096</v>
      </c>
      <c r="J159" s="88">
        <f t="shared" si="38"/>
        <v>22751.390089435594</v>
      </c>
      <c r="K159" s="88">
        <f t="shared" si="38"/>
        <v>23992.471809759092</v>
      </c>
      <c r="O159" s="13"/>
    </row>
    <row r="160" spans="1:16">
      <c r="A160" t="s">
        <v>7</v>
      </c>
      <c r="B160" s="88">
        <f t="shared" si="38"/>
        <v>24941.422865988505</v>
      </c>
      <c r="C160" s="88">
        <f t="shared" si="38"/>
        <v>26047.606657348864</v>
      </c>
      <c r="D160" s="88">
        <f t="shared" si="38"/>
        <v>27198.558894676877</v>
      </c>
      <c r="E160" s="88">
        <f t="shared" si="38"/>
        <v>28407.970801060739</v>
      </c>
      <c r="F160" s="88">
        <f t="shared" si="38"/>
        <v>29677.510799943349</v>
      </c>
      <c r="G160" s="88">
        <f t="shared" si="38"/>
        <v>30963.479703361514</v>
      </c>
      <c r="H160" s="88">
        <f t="shared" si="38"/>
        <v>32304.71998697146</v>
      </c>
      <c r="I160" s="88">
        <f t="shared" si="38"/>
        <v>33711.523812694038</v>
      </c>
      <c r="J160" s="88">
        <f t="shared" si="38"/>
        <v>35179.583137929614</v>
      </c>
      <c r="K160" s="88">
        <f t="shared" si="38"/>
        <v>36711.56434700697</v>
      </c>
      <c r="O160" s="13"/>
    </row>
    <row r="161" spans="1:16">
      <c r="A161" t="s">
        <v>8</v>
      </c>
      <c r="B161" s="88">
        <f t="shared" si="38"/>
        <v>27504.113438370092</v>
      </c>
      <c r="C161" s="88">
        <f t="shared" si="38"/>
        <v>29081.629591702836</v>
      </c>
      <c r="D161" s="88">
        <f t="shared" si="38"/>
        <v>30628.426063836818</v>
      </c>
      <c r="E161" s="88">
        <f t="shared" si="38"/>
        <v>32388.697819831017</v>
      </c>
      <c r="F161" s="88">
        <f t="shared" si="38"/>
        <v>34257.465977786131</v>
      </c>
      <c r="G161" s="88">
        <f t="shared" si="38"/>
        <v>36221.647800813713</v>
      </c>
      <c r="H161" s="88">
        <f t="shared" si="38"/>
        <v>38261.679809782887</v>
      </c>
      <c r="I161" s="88">
        <f t="shared" si="38"/>
        <v>40438.157594547054</v>
      </c>
      <c r="J161" s="88">
        <f t="shared" si="38"/>
        <v>42738.432564995448</v>
      </c>
      <c r="K161" s="88">
        <f t="shared" si="38"/>
        <v>45169.545121352719</v>
      </c>
      <c r="O161" s="13"/>
    </row>
    <row r="162" spans="1:16">
      <c r="A162" t="s">
        <v>9</v>
      </c>
      <c r="B162" s="88">
        <f t="shared" si="38"/>
        <v>20867.90919503873</v>
      </c>
      <c r="C162" s="88">
        <f t="shared" si="38"/>
        <v>22377.925534842485</v>
      </c>
      <c r="D162" s="88">
        <f t="shared" si="38"/>
        <v>23948.657448412952</v>
      </c>
      <c r="E162" s="88">
        <f t="shared" si="38"/>
        <v>25660.461534733106</v>
      </c>
      <c r="F162" s="88">
        <f t="shared" si="38"/>
        <v>27474.829198112537</v>
      </c>
      <c r="G162" s="88">
        <f t="shared" si="38"/>
        <v>29462.375994912018</v>
      </c>
      <c r="H162" s="88">
        <f t="shared" si="38"/>
        <v>31593.261659339776</v>
      </c>
      <c r="I162" s="88">
        <f t="shared" si="38"/>
        <v>33853.87622480595</v>
      </c>
      <c r="J162" s="88">
        <f t="shared" si="38"/>
        <v>36276.237964840075</v>
      </c>
      <c r="K162" s="88">
        <f t="shared" si="38"/>
        <v>38871.918815141275</v>
      </c>
      <c r="O162" s="13"/>
    </row>
    <row r="163" spans="1:16">
      <c r="A163" t="s">
        <v>10</v>
      </c>
      <c r="B163" s="88">
        <f t="shared" si="38"/>
        <v>17757.579038677741</v>
      </c>
      <c r="C163" s="88">
        <f t="shared" si="38"/>
        <v>18616.204444899169</v>
      </c>
      <c r="D163" s="88">
        <f t="shared" si="38"/>
        <v>19457.408653536819</v>
      </c>
      <c r="E163" s="88">
        <f t="shared" si="38"/>
        <v>20342.06844363112</v>
      </c>
      <c r="F163" s="88">
        <f t="shared" si="38"/>
        <v>21312.213248327851</v>
      </c>
      <c r="G163" s="88">
        <f t="shared" si="38"/>
        <v>22363.615781507619</v>
      </c>
      <c r="H163" s="88">
        <f t="shared" si="38"/>
        <v>23533.670768812877</v>
      </c>
      <c r="I163" s="88">
        <f t="shared" si="38"/>
        <v>24699.744587016823</v>
      </c>
      <c r="J163" s="88">
        <f t="shared" si="38"/>
        <v>25923.590571008142</v>
      </c>
      <c r="K163" s="88">
        <f t="shared" si="38"/>
        <v>27208.070352332947</v>
      </c>
      <c r="O163" s="13"/>
    </row>
    <row r="164" spans="1:16">
      <c r="A164" t="s">
        <v>18</v>
      </c>
      <c r="B164" s="88">
        <f t="shared" si="38"/>
        <v>30129.715383992829</v>
      </c>
      <c r="C164" s="88">
        <f t="shared" si="38"/>
        <v>31887.964482189302</v>
      </c>
      <c r="D164" s="88">
        <f t="shared" si="38"/>
        <v>33775.386523872621</v>
      </c>
      <c r="E164" s="88">
        <f t="shared" si="38"/>
        <v>35750.310326062507</v>
      </c>
      <c r="F164" s="88">
        <f t="shared" si="38"/>
        <v>37920.359099771907</v>
      </c>
      <c r="G164" s="88">
        <f t="shared" si="38"/>
        <v>40208.353335239961</v>
      </c>
      <c r="H164" s="88">
        <f t="shared" si="38"/>
        <v>42593.581474180231</v>
      </c>
      <c r="I164" s="88">
        <f t="shared" si="38"/>
        <v>45144.282224803901</v>
      </c>
      <c r="J164" s="88">
        <f t="shared" si="38"/>
        <v>47847.719992797312</v>
      </c>
      <c r="K164" s="88">
        <f t="shared" si="38"/>
        <v>50713.039430147663</v>
      </c>
      <c r="O164" s="13"/>
    </row>
    <row r="165" spans="1:16">
      <c r="A165" t="s">
        <v>16</v>
      </c>
      <c r="B165" s="88">
        <f t="shared" si="38"/>
        <v>9782.1964709051808</v>
      </c>
      <c r="C165" s="88">
        <f t="shared" si="38"/>
        <v>10235.620288041428</v>
      </c>
      <c r="D165" s="88">
        <f t="shared" si="38"/>
        <v>10718.608738513452</v>
      </c>
      <c r="E165" s="88">
        <f t="shared" si="38"/>
        <v>11227.392884844547</v>
      </c>
      <c r="F165" s="88">
        <f t="shared" si="38"/>
        <v>11762.844670768076</v>
      </c>
      <c r="G165" s="88">
        <f t="shared" si="38"/>
        <v>12331.378432521382</v>
      </c>
      <c r="H165" s="88">
        <f t="shared" si="38"/>
        <v>12927.210476218879</v>
      </c>
      <c r="I165" s="88">
        <f t="shared" si="38"/>
        <v>13546.193223849727</v>
      </c>
      <c r="J165" s="88">
        <f t="shared" si="38"/>
        <v>14194.81101374695</v>
      </c>
      <c r="K165" s="88">
        <f t="shared" si="38"/>
        <v>14874.482336746029</v>
      </c>
      <c r="O165" s="13"/>
    </row>
    <row r="166" spans="1:16">
      <c r="A166" t="s">
        <v>11</v>
      </c>
      <c r="B166" s="88">
        <f t="shared" si="38"/>
        <v>6255.1260573301888</v>
      </c>
      <c r="C166" s="88">
        <f t="shared" si="38"/>
        <v>6626.4073053190768</v>
      </c>
      <c r="D166" s="88">
        <f t="shared" si="38"/>
        <v>7018.6188311509068</v>
      </c>
      <c r="E166" s="88">
        <f t="shared" si="38"/>
        <v>7436.0352169331964</v>
      </c>
      <c r="F166" s="88">
        <f t="shared" si="38"/>
        <v>7879.962634700837</v>
      </c>
      <c r="G166" s="88">
        <f t="shared" si="38"/>
        <v>8363.2970619861317</v>
      </c>
      <c r="H166" s="88">
        <f t="shared" si="38"/>
        <v>8834.3246033280357</v>
      </c>
      <c r="I166" s="88">
        <f t="shared" si="38"/>
        <v>9354.5286976528132</v>
      </c>
      <c r="J166" s="88">
        <f t="shared" si="38"/>
        <v>9905.3624844816713</v>
      </c>
      <c r="K166" s="88">
        <f t="shared" si="38"/>
        <v>10488.629176979019</v>
      </c>
      <c r="O166" s="13"/>
    </row>
    <row r="167" spans="1:16">
      <c r="A167" t="s">
        <v>13</v>
      </c>
      <c r="B167" s="88">
        <f t="shared" si="38"/>
        <v>13015.934321462773</v>
      </c>
      <c r="C167" s="88">
        <f t="shared" si="38"/>
        <v>13476.024721270978</v>
      </c>
      <c r="D167" s="88">
        <f t="shared" si="38"/>
        <v>13923.220163679234</v>
      </c>
      <c r="E167" s="88">
        <f t="shared" si="38"/>
        <v>14458.753862211928</v>
      </c>
      <c r="F167" s="88">
        <f t="shared" si="38"/>
        <v>15047.036138730071</v>
      </c>
      <c r="G167" s="88">
        <f t="shared" si="38"/>
        <v>15608.734786912868</v>
      </c>
      <c r="H167" s="88">
        <f t="shared" si="38"/>
        <v>16159.948137089295</v>
      </c>
      <c r="I167" s="88">
        <f t="shared" si="38"/>
        <v>16766.700865673727</v>
      </c>
      <c r="J167" s="88">
        <f t="shared" si="38"/>
        <v>17396.231249972214</v>
      </c>
      <c r="K167" s="88">
        <f t="shared" si="38"/>
        <v>18049.393987394586</v>
      </c>
      <c r="O167" s="13"/>
    </row>
    <row r="168" spans="1:16">
      <c r="A168" s="6" t="s">
        <v>71</v>
      </c>
      <c r="B168" s="88">
        <f t="shared" si="38"/>
        <v>28791.565066927964</v>
      </c>
      <c r="C168" s="88">
        <f t="shared" si="38"/>
        <v>30298.917575967578</v>
      </c>
      <c r="D168" s="88">
        <f t="shared" si="38"/>
        <v>31880.154947029732</v>
      </c>
      <c r="E168" s="88">
        <f t="shared" si="38"/>
        <v>33584.788311616554</v>
      </c>
      <c r="F168" s="88">
        <f t="shared" si="38"/>
        <v>35388.140800757341</v>
      </c>
      <c r="G168" s="88">
        <f t="shared" si="38"/>
        <v>37275.55331184082</v>
      </c>
      <c r="H168" s="88">
        <f t="shared" si="38"/>
        <v>39225.794609276592</v>
      </c>
      <c r="I168" s="88">
        <f t="shared" si="38"/>
        <v>41300.179658613044</v>
      </c>
      <c r="J168" s="88">
        <f t="shared" si="38"/>
        <v>43484.255035020928</v>
      </c>
      <c r="K168" s="88">
        <f t="shared" si="38"/>
        <v>45783.819883571348</v>
      </c>
      <c r="O168" s="13"/>
    </row>
    <row r="169" spans="1:16">
      <c r="A169" s="6" t="s">
        <v>166</v>
      </c>
      <c r="B169" s="88">
        <f t="shared" si="38"/>
        <v>13570.847209451998</v>
      </c>
      <c r="C169" s="88">
        <f t="shared" si="38"/>
        <v>14343.50991148253</v>
      </c>
      <c r="D169" s="88">
        <f t="shared" si="38"/>
        <v>15147.394192397893</v>
      </c>
      <c r="E169" s="88">
        <f t="shared" si="38"/>
        <v>16028.052689115175</v>
      </c>
      <c r="F169" s="88">
        <f t="shared" si="38"/>
        <v>16971.289239402711</v>
      </c>
      <c r="G169" s="88">
        <f t="shared" si="38"/>
        <v>17947.128846043932</v>
      </c>
      <c r="H169" s="88">
        <f t="shared" si="38"/>
        <v>18977.120169483336</v>
      </c>
      <c r="I169" s="88">
        <f t="shared" si="38"/>
        <v>20072.774295569485</v>
      </c>
      <c r="J169" s="88">
        <f t="shared" si="38"/>
        <v>21232.245904553041</v>
      </c>
      <c r="K169" s="88">
        <f t="shared" si="38"/>
        <v>22459.282885752309</v>
      </c>
      <c r="N169" s="269">
        <f>K169/(SUM(K157:K166)+K169)</f>
        <v>3.0000000000000002E-2</v>
      </c>
      <c r="O169" s="13"/>
    </row>
    <row r="170" spans="1:16">
      <c r="A170" s="212" t="s">
        <v>218</v>
      </c>
      <c r="B170" s="88">
        <f>B153</f>
        <v>2085.3611888863684</v>
      </c>
      <c r="C170" s="88">
        <f t="shared" si="38"/>
        <v>2085.3611888863684</v>
      </c>
      <c r="D170" s="88">
        <f t="shared" si="38"/>
        <v>2085.3611888863684</v>
      </c>
      <c r="E170" s="88">
        <f t="shared" si="38"/>
        <v>2085.3611888863684</v>
      </c>
      <c r="F170" s="88">
        <f t="shared" si="38"/>
        <v>2085.3611888863684</v>
      </c>
      <c r="G170" s="88">
        <f t="shared" si="38"/>
        <v>2085.3611888863684</v>
      </c>
      <c r="H170" s="88">
        <f t="shared" si="38"/>
        <v>2085.3611888863684</v>
      </c>
      <c r="I170" s="88">
        <f t="shared" si="38"/>
        <v>2085.3611888863684</v>
      </c>
      <c r="J170" s="88">
        <f t="shared" si="38"/>
        <v>2085.3611888863684</v>
      </c>
      <c r="K170" s="88">
        <f t="shared" si="38"/>
        <v>2085.3611888863684</v>
      </c>
      <c r="O170" s="13"/>
    </row>
    <row r="171" spans="1:16">
      <c r="A171" s="211" t="s">
        <v>276</v>
      </c>
      <c r="B171" s="88">
        <f>UF_Calculations_1!B85</f>
        <v>4902.4848588157956</v>
      </c>
      <c r="C171" s="88">
        <f>UF_Calculations_1!C85</f>
        <v>5056.5031020109163</v>
      </c>
      <c r="D171" s="88">
        <f>UF_Calculations_1!D85</f>
        <v>5237.5277322001775</v>
      </c>
      <c r="E171" s="88">
        <f>UF_Calculations_1!E85</f>
        <v>5402.8845765640835</v>
      </c>
      <c r="F171" s="88">
        <f>UF_Calculations_1!F85</f>
        <v>5551.0105579917099</v>
      </c>
      <c r="G171" s="88">
        <f>UF_Calculations_1!G85</f>
        <v>5709.5714178587596</v>
      </c>
      <c r="H171" s="88">
        <f>UF_Calculations_1!H85</f>
        <v>5869.2769004804823</v>
      </c>
      <c r="I171" s="88">
        <f>UF_Calculations_1!I85</f>
        <v>6032.4974898195842</v>
      </c>
      <c r="J171" s="88">
        <f>UF_Calculations_1!J85</f>
        <v>6193.5803636553173</v>
      </c>
      <c r="K171" s="88">
        <f>UF_Calculations_1!K85</f>
        <v>6351.7364828735981</v>
      </c>
      <c r="O171" s="13"/>
    </row>
    <row r="172" spans="1:16">
      <c r="A172" s="6" t="s">
        <v>98</v>
      </c>
      <c r="B172" s="88">
        <f>SUM(B157:B171)</f>
        <v>501156.9190844929</v>
      </c>
      <c r="C172" s="88">
        <f t="shared" ref="C172:K172" si="39">SUM(C157:C171)</f>
        <v>529033.80363755347</v>
      </c>
      <c r="D172" s="88">
        <f t="shared" si="39"/>
        <v>558039.40377839201</v>
      </c>
      <c r="E172" s="88">
        <f t="shared" si="39"/>
        <v>589800.21090978466</v>
      </c>
      <c r="F172" s="88">
        <f t="shared" si="39"/>
        <v>623781.18999978923</v>
      </c>
      <c r="G172" s="88">
        <f t="shared" si="39"/>
        <v>658916.84890696325</v>
      </c>
      <c r="H172" s="88">
        <f t="shared" si="39"/>
        <v>695911.05315184384</v>
      </c>
      <c r="I172" s="88">
        <f t="shared" si="39"/>
        <v>735277.21572197543</v>
      </c>
      <c r="J172" s="88">
        <f t="shared" si="39"/>
        <v>776900.95798930293</v>
      </c>
      <c r="K172" s="88">
        <f t="shared" si="39"/>
        <v>820913.07440113614</v>
      </c>
      <c r="L172" s="269">
        <f>(B172-B155)/$B$19</f>
        <v>9.4824476129246882E-3</v>
      </c>
      <c r="M172" s="269">
        <f>(K172-K155)/$K$19</f>
        <v>7.4689435368570489E-3</v>
      </c>
      <c r="O172" s="88"/>
      <c r="P172" s="269"/>
    </row>
    <row r="173" spans="1:16" s="287" customFormat="1">
      <c r="A173" s="287" t="s">
        <v>317</v>
      </c>
      <c r="B173" s="298"/>
      <c r="C173" s="298"/>
      <c r="D173" s="298"/>
      <c r="E173" s="298"/>
      <c r="F173" s="298"/>
      <c r="G173" s="298"/>
      <c r="H173" s="298"/>
      <c r="I173" s="298"/>
      <c r="J173" s="298"/>
      <c r="K173" s="288"/>
      <c r="L173" s="288">
        <f>SUM(L3:L172)</f>
        <v>-3.0656010588608597E-2</v>
      </c>
      <c r="M173" s="288">
        <f>SUM(M3:M172)</f>
        <v>-3.4696508914998474E-2</v>
      </c>
      <c r="P173" s="288"/>
    </row>
    <row r="174" spans="1:16">
      <c r="A174" s="210" t="s">
        <v>318</v>
      </c>
      <c r="L174"/>
      <c r="M174"/>
    </row>
    <row r="175" spans="1:16">
      <c r="A175" t="s">
        <v>4</v>
      </c>
      <c r="B175" s="88">
        <f t="shared" ref="B175:K175" si="40">B157</f>
        <v>163701.34411711176</v>
      </c>
      <c r="C175" s="88">
        <f t="shared" si="40"/>
        <v>173418.05306657156</v>
      </c>
      <c r="D175" s="88">
        <f t="shared" si="40"/>
        <v>183509.07406747006</v>
      </c>
      <c r="E175" s="88">
        <f t="shared" si="40"/>
        <v>194606.44970660275</v>
      </c>
      <c r="F175" s="88">
        <f t="shared" si="40"/>
        <v>207003.29304411117</v>
      </c>
      <c r="G175" s="88">
        <f t="shared" si="40"/>
        <v>219286.14633793768</v>
      </c>
      <c r="H175" s="88">
        <f t="shared" si="40"/>
        <v>232294.57476981299</v>
      </c>
      <c r="I175" s="88">
        <f t="shared" si="40"/>
        <v>246360.34369976353</v>
      </c>
      <c r="J175" s="88">
        <f t="shared" si="40"/>
        <v>261277.75638573107</v>
      </c>
      <c r="K175" s="88">
        <f t="shared" si="40"/>
        <v>277098.37036155129</v>
      </c>
      <c r="L175"/>
      <c r="M175" s="88"/>
      <c r="O175" s="88"/>
    </row>
    <row r="176" spans="1:16">
      <c r="A176" t="s">
        <v>5</v>
      </c>
      <c r="B176" s="88">
        <f t="shared" ref="B176:K176" si="41">B158</f>
        <v>123004.95380599919</v>
      </c>
      <c r="C176" s="88">
        <f t="shared" si="41"/>
        <v>129813.88952967607</v>
      </c>
      <c r="D176" s="88">
        <f t="shared" si="41"/>
        <v>136978.11715017905</v>
      </c>
      <c r="E176" s="88">
        <f t="shared" si="41"/>
        <v>144987.53974399122</v>
      </c>
      <c r="F176" s="88">
        <f t="shared" si="41"/>
        <v>153062.886902812</v>
      </c>
      <c r="G176" s="88">
        <f t="shared" si="41"/>
        <v>161685.77008914479</v>
      </c>
      <c r="H176" s="88">
        <f t="shared" si="41"/>
        <v>170792.04123921864</v>
      </c>
      <c r="I176" s="88">
        <f t="shared" si="41"/>
        <v>180336.55028492719</v>
      </c>
      <c r="J176" s="88">
        <f t="shared" si="41"/>
        <v>190414.40004224906</v>
      </c>
      <c r="K176" s="88">
        <f t="shared" si="41"/>
        <v>201055.38822164084</v>
      </c>
      <c r="L176"/>
      <c r="M176" s="88"/>
      <c r="O176" s="88"/>
    </row>
    <row r="177" spans="1:16">
      <c r="A177" t="s">
        <v>6</v>
      </c>
      <c r="B177" s="88">
        <f t="shared" ref="B177:K177" si="42">B159</f>
        <v>14846.36606553379</v>
      </c>
      <c r="C177" s="88">
        <f t="shared" si="42"/>
        <v>15668.186237344358</v>
      </c>
      <c r="D177" s="88">
        <f t="shared" si="42"/>
        <v>16532.889182548894</v>
      </c>
      <c r="E177" s="88">
        <f t="shared" si="42"/>
        <v>17433.443803700426</v>
      </c>
      <c r="F177" s="88">
        <f t="shared" si="42"/>
        <v>18386.986497687139</v>
      </c>
      <c r="G177" s="88">
        <f t="shared" si="42"/>
        <v>19404.434817995611</v>
      </c>
      <c r="H177" s="88">
        <f t="shared" si="42"/>
        <v>20458.487358962069</v>
      </c>
      <c r="I177" s="88">
        <f t="shared" si="42"/>
        <v>21574.501873352096</v>
      </c>
      <c r="J177" s="88">
        <f t="shared" si="42"/>
        <v>22751.390089435594</v>
      </c>
      <c r="K177" s="88">
        <f t="shared" si="42"/>
        <v>23992.471809759092</v>
      </c>
      <c r="L177"/>
      <c r="M177" s="88"/>
      <c r="O177" s="88"/>
    </row>
    <row r="178" spans="1:16">
      <c r="A178" t="s">
        <v>7</v>
      </c>
      <c r="B178" s="88">
        <f t="shared" ref="B178:K178" si="43">B160</f>
        <v>24941.422865988505</v>
      </c>
      <c r="C178" s="88">
        <f t="shared" si="43"/>
        <v>26047.606657348864</v>
      </c>
      <c r="D178" s="88">
        <f t="shared" si="43"/>
        <v>27198.558894676877</v>
      </c>
      <c r="E178" s="88">
        <f t="shared" si="43"/>
        <v>28407.970801060739</v>
      </c>
      <c r="F178" s="88">
        <f t="shared" si="43"/>
        <v>29677.510799943349</v>
      </c>
      <c r="G178" s="88">
        <f t="shared" si="43"/>
        <v>30963.479703361514</v>
      </c>
      <c r="H178" s="88">
        <f t="shared" si="43"/>
        <v>32304.71998697146</v>
      </c>
      <c r="I178" s="88">
        <f t="shared" si="43"/>
        <v>33711.523812694038</v>
      </c>
      <c r="J178" s="88">
        <f t="shared" si="43"/>
        <v>35179.583137929614</v>
      </c>
      <c r="K178" s="88">
        <f t="shared" si="43"/>
        <v>36711.56434700697</v>
      </c>
      <c r="L178"/>
      <c r="M178" s="88"/>
      <c r="O178" s="88"/>
    </row>
    <row r="179" spans="1:16">
      <c r="A179" t="s">
        <v>8</v>
      </c>
      <c r="B179" s="88">
        <f>B161*UF_Assumptions_1!$K$8</f>
        <v>52286.231772280269</v>
      </c>
      <c r="C179" s="88">
        <f>C161*UF_Assumptions_1!$K$8</f>
        <v>55285.142295336918</v>
      </c>
      <c r="D179" s="88">
        <f>D161*UF_Assumptions_1!$K$8</f>
        <v>58225.653685670084</v>
      </c>
      <c r="E179" s="88">
        <f>E161*UF_Assumptions_1!$K$8</f>
        <v>61571.98867015689</v>
      </c>
      <c r="F179" s="88">
        <f>F161*UF_Assumptions_1!$K$8</f>
        <v>65124.578912865283</v>
      </c>
      <c r="G179" s="88">
        <f>G161*UF_Assumptions_1!$K$8</f>
        <v>68858.553697104173</v>
      </c>
      <c r="H179" s="88">
        <f>H161*UF_Assumptions_1!$K$8</f>
        <v>72736.722200257136</v>
      </c>
      <c r="I179" s="88">
        <f>I161*UF_Assumptions_1!$K$8</f>
        <v>76874.278648182473</v>
      </c>
      <c r="J179" s="88">
        <f>J161*UF_Assumptions_1!$K$8</f>
        <v>81247.17765161123</v>
      </c>
      <c r="K179" s="88">
        <f>K161*UF_Assumptions_1!$K$8</f>
        <v>85868.803244853028</v>
      </c>
      <c r="L179"/>
      <c r="M179" s="88"/>
      <c r="N179" s="88"/>
      <c r="O179" s="88"/>
    </row>
    <row r="180" spans="1:16">
      <c r="A180" t="s">
        <v>9</v>
      </c>
      <c r="B180" s="88">
        <f t="shared" ref="B180:K180" si="44">B162</f>
        <v>20867.90919503873</v>
      </c>
      <c r="C180" s="88">
        <f t="shared" si="44"/>
        <v>22377.925534842485</v>
      </c>
      <c r="D180" s="88">
        <f t="shared" si="44"/>
        <v>23948.657448412952</v>
      </c>
      <c r="E180" s="88">
        <f t="shared" si="44"/>
        <v>25660.461534733106</v>
      </c>
      <c r="F180" s="88">
        <f t="shared" si="44"/>
        <v>27474.829198112537</v>
      </c>
      <c r="G180" s="88">
        <f t="shared" si="44"/>
        <v>29462.375994912018</v>
      </c>
      <c r="H180" s="88">
        <f t="shared" si="44"/>
        <v>31593.261659339776</v>
      </c>
      <c r="I180" s="88">
        <f t="shared" si="44"/>
        <v>33853.87622480595</v>
      </c>
      <c r="J180" s="88">
        <f t="shared" si="44"/>
        <v>36276.237964840075</v>
      </c>
      <c r="K180" s="88">
        <f t="shared" si="44"/>
        <v>38871.918815141275</v>
      </c>
      <c r="L180"/>
      <c r="M180" s="88"/>
      <c r="N180" s="88"/>
      <c r="O180" s="88"/>
    </row>
    <row r="181" spans="1:16">
      <c r="A181" t="s">
        <v>10</v>
      </c>
      <c r="B181" s="88">
        <f t="shared" ref="B181:K181" si="45">B163</f>
        <v>17757.579038677741</v>
      </c>
      <c r="C181" s="88">
        <f t="shared" si="45"/>
        <v>18616.204444899169</v>
      </c>
      <c r="D181" s="88">
        <f t="shared" si="45"/>
        <v>19457.408653536819</v>
      </c>
      <c r="E181" s="88">
        <f t="shared" si="45"/>
        <v>20342.06844363112</v>
      </c>
      <c r="F181" s="88">
        <f t="shared" si="45"/>
        <v>21312.213248327851</v>
      </c>
      <c r="G181" s="88">
        <f t="shared" si="45"/>
        <v>22363.615781507619</v>
      </c>
      <c r="H181" s="88">
        <f t="shared" si="45"/>
        <v>23533.670768812877</v>
      </c>
      <c r="I181" s="88">
        <f t="shared" si="45"/>
        <v>24699.744587016823</v>
      </c>
      <c r="J181" s="88">
        <f t="shared" si="45"/>
        <v>25923.590571008142</v>
      </c>
      <c r="K181" s="88">
        <f t="shared" si="45"/>
        <v>27208.070352332947</v>
      </c>
      <c r="L181"/>
      <c r="M181" s="88"/>
      <c r="N181" s="88"/>
      <c r="O181" s="88"/>
    </row>
    <row r="182" spans="1:16">
      <c r="A182" t="s">
        <v>18</v>
      </c>
      <c r="B182" s="88">
        <f t="shared" ref="B182:K182" si="46">B164</f>
        <v>30129.715383992829</v>
      </c>
      <c r="C182" s="88">
        <f t="shared" si="46"/>
        <v>31887.964482189302</v>
      </c>
      <c r="D182" s="88">
        <f t="shared" si="46"/>
        <v>33775.386523872621</v>
      </c>
      <c r="E182" s="88">
        <f t="shared" si="46"/>
        <v>35750.310326062507</v>
      </c>
      <c r="F182" s="88">
        <f t="shared" si="46"/>
        <v>37920.359099771907</v>
      </c>
      <c r="G182" s="88">
        <f t="shared" si="46"/>
        <v>40208.353335239961</v>
      </c>
      <c r="H182" s="88">
        <f t="shared" si="46"/>
        <v>42593.581474180231</v>
      </c>
      <c r="I182" s="88">
        <f t="shared" si="46"/>
        <v>45144.282224803901</v>
      </c>
      <c r="J182" s="88">
        <f t="shared" si="46"/>
        <v>47847.719992797312</v>
      </c>
      <c r="K182" s="88">
        <f t="shared" si="46"/>
        <v>50713.039430147663</v>
      </c>
      <c r="L182"/>
      <c r="M182" s="88"/>
      <c r="N182" s="88"/>
      <c r="O182" s="88"/>
    </row>
    <row r="183" spans="1:16">
      <c r="A183" t="s">
        <v>16</v>
      </c>
      <c r="B183" s="88">
        <f t="shared" ref="B183:K183" si="47">B165</f>
        <v>9782.1964709051808</v>
      </c>
      <c r="C183" s="88">
        <f t="shared" si="47"/>
        <v>10235.620288041428</v>
      </c>
      <c r="D183" s="88">
        <f t="shared" si="47"/>
        <v>10718.608738513452</v>
      </c>
      <c r="E183" s="88">
        <f t="shared" si="47"/>
        <v>11227.392884844547</v>
      </c>
      <c r="F183" s="88">
        <f t="shared" si="47"/>
        <v>11762.844670768076</v>
      </c>
      <c r="G183" s="88">
        <f t="shared" si="47"/>
        <v>12331.378432521382</v>
      </c>
      <c r="H183" s="88">
        <f t="shared" si="47"/>
        <v>12927.210476218879</v>
      </c>
      <c r="I183" s="88">
        <f t="shared" si="47"/>
        <v>13546.193223849727</v>
      </c>
      <c r="J183" s="88">
        <f t="shared" si="47"/>
        <v>14194.81101374695</v>
      </c>
      <c r="K183" s="88">
        <f t="shared" si="47"/>
        <v>14874.482336746029</v>
      </c>
      <c r="L183"/>
      <c r="M183" s="88"/>
      <c r="N183" s="88"/>
      <c r="O183" s="88"/>
    </row>
    <row r="184" spans="1:16">
      <c r="A184" t="s">
        <v>11</v>
      </c>
      <c r="B184" s="88">
        <f t="shared" ref="B184:K184" si="48">B166</f>
        <v>6255.1260573301888</v>
      </c>
      <c r="C184" s="88">
        <f t="shared" si="48"/>
        <v>6626.4073053190768</v>
      </c>
      <c r="D184" s="88">
        <f t="shared" si="48"/>
        <v>7018.6188311509068</v>
      </c>
      <c r="E184" s="88">
        <f t="shared" si="48"/>
        <v>7436.0352169331964</v>
      </c>
      <c r="F184" s="88">
        <f t="shared" si="48"/>
        <v>7879.962634700837</v>
      </c>
      <c r="G184" s="88">
        <f t="shared" si="48"/>
        <v>8363.2970619861317</v>
      </c>
      <c r="H184" s="88">
        <f t="shared" si="48"/>
        <v>8834.3246033280357</v>
      </c>
      <c r="I184" s="88">
        <f t="shared" si="48"/>
        <v>9354.5286976528132</v>
      </c>
      <c r="J184" s="88">
        <f t="shared" si="48"/>
        <v>9905.3624844816713</v>
      </c>
      <c r="K184" s="88">
        <f t="shared" si="48"/>
        <v>10488.629176979019</v>
      </c>
      <c r="L184"/>
      <c r="M184" s="88"/>
      <c r="N184" s="88"/>
      <c r="O184" s="88"/>
    </row>
    <row r="185" spans="1:16">
      <c r="A185" t="s">
        <v>13</v>
      </c>
      <c r="B185" s="88">
        <f t="shared" ref="B185:K185" si="49">B167</f>
        <v>13015.934321462773</v>
      </c>
      <c r="C185" s="88">
        <f t="shared" si="49"/>
        <v>13476.024721270978</v>
      </c>
      <c r="D185" s="88">
        <f t="shared" si="49"/>
        <v>13923.220163679234</v>
      </c>
      <c r="E185" s="88">
        <f t="shared" si="49"/>
        <v>14458.753862211928</v>
      </c>
      <c r="F185" s="88">
        <f t="shared" si="49"/>
        <v>15047.036138730071</v>
      </c>
      <c r="G185" s="88">
        <f t="shared" si="49"/>
        <v>15608.734786912868</v>
      </c>
      <c r="H185" s="88">
        <f t="shared" si="49"/>
        <v>16159.948137089295</v>
      </c>
      <c r="I185" s="88">
        <f t="shared" si="49"/>
        <v>16766.700865673727</v>
      </c>
      <c r="J185" s="88">
        <f t="shared" si="49"/>
        <v>17396.231249972214</v>
      </c>
      <c r="K185" s="88">
        <f t="shared" si="49"/>
        <v>18049.393987394586</v>
      </c>
      <c r="L185"/>
      <c r="M185" s="88"/>
      <c r="N185" s="88"/>
      <c r="O185" s="88"/>
    </row>
    <row r="186" spans="1:16">
      <c r="A186" s="6" t="s">
        <v>71</v>
      </c>
      <c r="B186" s="88">
        <f t="shared" ref="B186:K186" si="50">B168</f>
        <v>28791.565066927964</v>
      </c>
      <c r="C186" s="88">
        <f t="shared" si="50"/>
        <v>30298.917575967578</v>
      </c>
      <c r="D186" s="88">
        <f t="shared" si="50"/>
        <v>31880.154947029732</v>
      </c>
      <c r="E186" s="88">
        <f t="shared" si="50"/>
        <v>33584.788311616554</v>
      </c>
      <c r="F186" s="88">
        <f t="shared" si="50"/>
        <v>35388.140800757341</v>
      </c>
      <c r="G186" s="88">
        <f t="shared" si="50"/>
        <v>37275.55331184082</v>
      </c>
      <c r="H186" s="88">
        <f t="shared" si="50"/>
        <v>39225.794609276592</v>
      </c>
      <c r="I186" s="88">
        <f t="shared" si="50"/>
        <v>41300.179658613044</v>
      </c>
      <c r="J186" s="88">
        <f t="shared" si="50"/>
        <v>43484.255035020928</v>
      </c>
      <c r="K186" s="88">
        <f t="shared" si="50"/>
        <v>45783.819883571348</v>
      </c>
      <c r="L186"/>
      <c r="M186" s="88"/>
      <c r="N186" s="88"/>
      <c r="O186" s="88"/>
    </row>
    <row r="187" spans="1:16">
      <c r="A187" s="6" t="s">
        <v>166</v>
      </c>
      <c r="B187" s="285">
        <f t="shared" ref="B187:K187" si="51">B169*(SUM(B175:B184)/SUM(B157:B166))</f>
        <v>14337.304477511074</v>
      </c>
      <c r="C187" s="285">
        <f t="shared" si="51"/>
        <v>15153.927830151626</v>
      </c>
      <c r="D187" s="285">
        <f t="shared" si="51"/>
        <v>16000.916696165928</v>
      </c>
      <c r="E187" s="285">
        <f t="shared" si="51"/>
        <v>16930.628694795359</v>
      </c>
      <c r="F187" s="285">
        <f t="shared" si="51"/>
        <v>17925.942216776293</v>
      </c>
      <c r="G187" s="285">
        <f t="shared" si="51"/>
        <v>18956.51768819724</v>
      </c>
      <c r="H187" s="285">
        <f t="shared" si="51"/>
        <v>20043.358593930992</v>
      </c>
      <c r="I187" s="285">
        <f t="shared" si="51"/>
        <v>21199.6646374345</v>
      </c>
      <c r="J187" s="285">
        <f t="shared" si="51"/>
        <v>22423.238020633944</v>
      </c>
      <c r="K187" s="285">
        <f t="shared" si="51"/>
        <v>23718.022827716239</v>
      </c>
      <c r="L187" s="6"/>
      <c r="M187" s="261">
        <f>K187/(SUM(K175:K184)+K187)</f>
        <v>3.0000000000000006E-2</v>
      </c>
      <c r="N187" s="88"/>
      <c r="O187" s="88"/>
    </row>
    <row r="188" spans="1:16">
      <c r="A188" s="212" t="s">
        <v>218</v>
      </c>
      <c r="B188" s="88">
        <f t="shared" ref="B188:K188" si="52">B170</f>
        <v>2085.3611888863684</v>
      </c>
      <c r="C188" s="88">
        <f t="shared" si="52"/>
        <v>2085.3611888863684</v>
      </c>
      <c r="D188" s="88">
        <f t="shared" si="52"/>
        <v>2085.3611888863684</v>
      </c>
      <c r="E188" s="88">
        <f t="shared" si="52"/>
        <v>2085.3611888863684</v>
      </c>
      <c r="F188" s="88">
        <f t="shared" si="52"/>
        <v>2085.3611888863684</v>
      </c>
      <c r="G188" s="88">
        <f t="shared" si="52"/>
        <v>2085.3611888863684</v>
      </c>
      <c r="H188" s="88">
        <f t="shared" si="52"/>
        <v>2085.3611888863684</v>
      </c>
      <c r="I188" s="88">
        <f t="shared" si="52"/>
        <v>2085.3611888863684</v>
      </c>
      <c r="J188" s="88">
        <f t="shared" si="52"/>
        <v>2085.3611888863684</v>
      </c>
      <c r="K188" s="88">
        <f t="shared" si="52"/>
        <v>2085.3611888863684</v>
      </c>
      <c r="L188"/>
      <c r="M188" s="88"/>
      <c r="O188" s="88"/>
    </row>
    <row r="189" spans="1:16">
      <c r="A189" s="211" t="s">
        <v>276</v>
      </c>
      <c r="B189" s="88">
        <f>UF_Calculations_1!B153</f>
        <v>5330.1132770442609</v>
      </c>
      <c r="C189" s="88">
        <f>UF_Calculations_1!C153</f>
        <v>5506.552242045861</v>
      </c>
      <c r="D189" s="88">
        <f>UF_Calculations_1!D153</f>
        <v>5712.075687240942</v>
      </c>
      <c r="E189" s="88">
        <f>UF_Calculations_1!E153</f>
        <v>5902.8047756031974</v>
      </c>
      <c r="F189" s="88">
        <f>UF_Calculations_1!F153</f>
        <v>6077.6056308944699</v>
      </c>
      <c r="G189" s="88">
        <f>UF_Calculations_1!G153</f>
        <v>6263.7425656943451</v>
      </c>
      <c r="H189" s="88">
        <f>UF_Calculations_1!H153</f>
        <v>6452.5690717433672</v>
      </c>
      <c r="I189" s="88">
        <f>UF_Calculations_1!I153</f>
        <v>6647.1972102670579</v>
      </c>
      <c r="J189" s="88">
        <f>UF_Calculations_1!J153</f>
        <v>6841.4444262397956</v>
      </c>
      <c r="K189" s="88">
        <f>UF_Calculations_1!K153</f>
        <v>7034.6234214260548</v>
      </c>
      <c r="L189"/>
      <c r="M189" s="88"/>
      <c r="O189" s="88"/>
    </row>
    <row r="190" spans="1:16">
      <c r="A190" s="6" t="s">
        <v>98</v>
      </c>
      <c r="B190" s="88">
        <f>SUM(B175:B189)</f>
        <v>527133.12310469057</v>
      </c>
      <c r="C190" s="88">
        <f t="shared" ref="C190:J190" si="53">SUM(C175:C189)</f>
        <v>556497.78339989157</v>
      </c>
      <c r="D190" s="88">
        <f t="shared" si="53"/>
        <v>586964.7018590339</v>
      </c>
      <c r="E190" s="88">
        <f t="shared" si="53"/>
        <v>620385.9979648299</v>
      </c>
      <c r="F190" s="88">
        <f t="shared" si="53"/>
        <v>656129.55098514468</v>
      </c>
      <c r="G190" s="88">
        <f t="shared" si="53"/>
        <v>693117.31479324249</v>
      </c>
      <c r="H190" s="88">
        <f t="shared" si="53"/>
        <v>732035.62613802857</v>
      </c>
      <c r="I190" s="88">
        <f t="shared" si="53"/>
        <v>773454.92683792347</v>
      </c>
      <c r="J190" s="88">
        <f t="shared" si="53"/>
        <v>817248.55925458402</v>
      </c>
      <c r="K190" s="88">
        <f>SUM(K175:K189)</f>
        <v>863553.95940515283</v>
      </c>
      <c r="L190" s="269">
        <f>(B190-B172)/$B$19</f>
        <v>5.0243499143344007E-2</v>
      </c>
      <c r="M190" s="269">
        <f>(K190-K172)/$K$19</f>
        <v>5.0140991099890841E-2</v>
      </c>
      <c r="O190" s="88"/>
    </row>
    <row r="191" spans="1:16">
      <c r="A191" s="210" t="s">
        <v>362</v>
      </c>
      <c r="P191" s="269"/>
    </row>
    <row r="192" spans="1:16">
      <c r="A192" t="s">
        <v>4</v>
      </c>
      <c r="B192" s="88">
        <f t="shared" ref="B192:B203" si="54">B175</f>
        <v>163701.34411711176</v>
      </c>
      <c r="C192" s="88">
        <f>B192*(1+UF_Assumptions_2!B16)</f>
        <v>170904.20325826469</v>
      </c>
      <c r="D192" s="88">
        <f>C192*(1+UF_Assumptions_2!C16)</f>
        <v>178765.79660814488</v>
      </c>
      <c r="E192" s="88">
        <f>D192*(1+UF_Assumptions_2!D16)</f>
        <v>186810.2574555114</v>
      </c>
      <c r="F192" s="88">
        <f>E192*(1+UF_Assumptions_2!E16)</f>
        <v>195029.9087835539</v>
      </c>
      <c r="G192" s="88">
        <f>F192*(1+UF_Assumptions_2!F16)</f>
        <v>203611.22477003027</v>
      </c>
      <c r="H192" s="88">
        <f>G192*(1+UF_Assumptions_2!G16)</f>
        <v>212570.11865991162</v>
      </c>
      <c r="I192" s="88">
        <f>H192*(1+UF_Assumptions_2!H16)</f>
        <v>222135.77399960763</v>
      </c>
      <c r="J192" s="88">
        <f>I192*(1+UF_Assumptions_2!I16)</f>
        <v>232131.88382958996</v>
      </c>
      <c r="K192" s="88">
        <f>J192*(1+UF_Assumptions_2!J16)</f>
        <v>242577.81860192149</v>
      </c>
      <c r="O192" s="13"/>
      <c r="P192" s="269"/>
    </row>
    <row r="193" spans="1:16">
      <c r="A193" t="s">
        <v>5</v>
      </c>
      <c r="B193" s="88">
        <f t="shared" si="54"/>
        <v>123004.95380599919</v>
      </c>
      <c r="C193" s="88">
        <f>B193*(1+UF_Assumptions_2!B17)</f>
        <v>128417.17177346315</v>
      </c>
      <c r="D193" s="88">
        <f>C193*(1+UF_Assumptions_2!C17)</f>
        <v>134324.36167504246</v>
      </c>
      <c r="E193" s="88">
        <f>D193*(1+UF_Assumptions_2!D17)</f>
        <v>140368.95795041937</v>
      </c>
      <c r="F193" s="88">
        <f>E193*(1+UF_Assumptions_2!E17)</f>
        <v>146545.19210023782</v>
      </c>
      <c r="G193" s="88">
        <f>F193*(1+UF_Assumptions_2!F17)</f>
        <v>152993.18055264829</v>
      </c>
      <c r="H193" s="88">
        <f>G193*(1+UF_Assumptions_2!G17)</f>
        <v>159724.88049696482</v>
      </c>
      <c r="I193" s="88">
        <f>H193*(1+UF_Assumptions_2!H17)</f>
        <v>166912.50011932824</v>
      </c>
      <c r="J193" s="88">
        <f>I193*(1+UF_Assumptions_2!I17)</f>
        <v>174423.56262469801</v>
      </c>
      <c r="K193" s="88">
        <f>J193*(1+UF_Assumptions_2!J17)</f>
        <v>182272.62294280939</v>
      </c>
      <c r="O193" s="13"/>
      <c r="P193" s="269"/>
    </row>
    <row r="194" spans="1:16">
      <c r="A194" t="s">
        <v>6</v>
      </c>
      <c r="B194" s="88">
        <f t="shared" si="54"/>
        <v>14846.36606553379</v>
      </c>
      <c r="C194" s="88">
        <f>B194*(1+UF_Assumptions_2!B18)</f>
        <v>15499.606172417278</v>
      </c>
      <c r="D194" s="88">
        <f>C194*(1+UF_Assumptions_2!C18)</f>
        <v>16212.588056348473</v>
      </c>
      <c r="E194" s="88">
        <f>D194*(1+UF_Assumptions_2!D18)</f>
        <v>16942.154518884152</v>
      </c>
      <c r="F194" s="88">
        <f>E194*(1+UF_Assumptions_2!E18)</f>
        <v>17687.609317715054</v>
      </c>
      <c r="G194" s="88">
        <f>F194*(1+UF_Assumptions_2!F18)</f>
        <v>18465.864127694516</v>
      </c>
      <c r="H194" s="88">
        <f>G194*(1+UF_Assumptions_2!G18)</f>
        <v>19278.362149313074</v>
      </c>
      <c r="I194" s="88">
        <f>H194*(1+UF_Assumptions_2!H18)</f>
        <v>20145.888446032161</v>
      </c>
      <c r="J194" s="88">
        <f>I194*(1+UF_Assumptions_2!I18)</f>
        <v>21052.453426103606</v>
      </c>
      <c r="K194" s="88">
        <f>J194*(1+UF_Assumptions_2!J18)</f>
        <v>21999.813830278268</v>
      </c>
      <c r="O194" s="13"/>
      <c r="P194" s="269"/>
    </row>
    <row r="195" spans="1:16">
      <c r="A195" t="s">
        <v>7</v>
      </c>
      <c r="B195" s="88">
        <f t="shared" si="54"/>
        <v>24941.422865988505</v>
      </c>
      <c r="C195" s="88">
        <f>B195*(1+UF_Assumptions_2!B19)</f>
        <v>26038.845472092002</v>
      </c>
      <c r="D195" s="88">
        <f>C195*(1+UF_Assumptions_2!C19)</f>
        <v>27236.632363808236</v>
      </c>
      <c r="E195" s="88">
        <f>D195*(1+UF_Assumptions_2!D19)</f>
        <v>28462.280820179603</v>
      </c>
      <c r="F195" s="88">
        <f>E195*(1+UF_Assumptions_2!E19)</f>
        <v>29714.621176267508</v>
      </c>
      <c r="G195" s="88">
        <f>F195*(1+UF_Assumptions_2!F19)</f>
        <v>31022.064508023279</v>
      </c>
      <c r="H195" s="88">
        <f>G195*(1+UF_Assumptions_2!G19)</f>
        <v>32387.035346376306</v>
      </c>
      <c r="I195" s="88">
        <f>H195*(1+UF_Assumptions_2!H19)</f>
        <v>33844.45193696324</v>
      </c>
      <c r="J195" s="88">
        <f>I195*(1+UF_Assumptions_2!I19)</f>
        <v>35367.452274126583</v>
      </c>
      <c r="K195" s="88">
        <f>J195*(1+UF_Assumptions_2!J19)</f>
        <v>36958.98762646228</v>
      </c>
      <c r="O195" s="13"/>
      <c r="P195" s="269"/>
    </row>
    <row r="196" spans="1:16">
      <c r="A196" t="s">
        <v>8</v>
      </c>
      <c r="B196" s="88">
        <f t="shared" si="54"/>
        <v>52286.231772280269</v>
      </c>
      <c r="C196" s="88">
        <f>B196*(1+UF_Assumptions_2!B20)</f>
        <v>54586.825970260601</v>
      </c>
      <c r="D196" s="88">
        <f>C196*(1+UF_Assumptions_2!C20)</f>
        <v>57097.819964892587</v>
      </c>
      <c r="E196" s="88">
        <f>D196*(1+UF_Assumptions_2!D20)</f>
        <v>59667.221863312749</v>
      </c>
      <c r="F196" s="88">
        <f>E196*(1+UF_Assumptions_2!E20)</f>
        <v>62292.579625298509</v>
      </c>
      <c r="G196" s="88">
        <f>F196*(1+UF_Assumptions_2!F20)</f>
        <v>65033.453128811649</v>
      </c>
      <c r="H196" s="88">
        <f>G196*(1+UF_Assumptions_2!G20)</f>
        <v>67894.925066479365</v>
      </c>
      <c r="I196" s="88">
        <f>H196*(1+UF_Assumptions_2!H20)</f>
        <v>70950.196694470927</v>
      </c>
      <c r="J196" s="88">
        <f>I196*(1+UF_Assumptions_2!I20)</f>
        <v>74142.955545722114</v>
      </c>
      <c r="K196" s="88">
        <f>J196*(1+UF_Assumptions_2!J20)</f>
        <v>77479.388545279609</v>
      </c>
      <c r="O196" s="17"/>
      <c r="P196" s="269"/>
    </row>
    <row r="197" spans="1:16">
      <c r="A197" t="s">
        <v>9</v>
      </c>
      <c r="B197" s="88">
        <f t="shared" si="54"/>
        <v>20867.90919503873</v>
      </c>
      <c r="C197" s="88">
        <f>B197*(1+UF_Assumptions_2!B21)</f>
        <v>21786.097199620435</v>
      </c>
      <c r="D197" s="88">
        <f>C197*(1+UF_Assumptions_2!C21)</f>
        <v>22788.257670802977</v>
      </c>
      <c r="E197" s="88">
        <f>D197*(1+UF_Assumptions_2!D21)</f>
        <v>23813.72926598911</v>
      </c>
      <c r="F197" s="88">
        <f>E197*(1+UF_Assumptions_2!E21)</f>
        <v>24861.53335369263</v>
      </c>
      <c r="G197" s="88">
        <f>F197*(1+UF_Assumptions_2!F21)</f>
        <v>25955.440821255106</v>
      </c>
      <c r="H197" s="88">
        <f>G197*(1+UF_Assumptions_2!G21)</f>
        <v>27097.480217390334</v>
      </c>
      <c r="I197" s="88">
        <f>H197*(1+UF_Assumptions_2!H21)</f>
        <v>28316.866827172897</v>
      </c>
      <c r="J197" s="88">
        <f>I197*(1+UF_Assumptions_2!I21)</f>
        <v>29591.125834395676</v>
      </c>
      <c r="K197" s="88">
        <f>J197*(1+UF_Assumptions_2!J21)</f>
        <v>30922.72649694348</v>
      </c>
      <c r="O197" s="13"/>
      <c r="P197" s="269"/>
    </row>
    <row r="198" spans="1:16">
      <c r="A198" t="s">
        <v>10</v>
      </c>
      <c r="B198" s="88">
        <f t="shared" si="54"/>
        <v>17757.579038677741</v>
      </c>
      <c r="C198" s="88">
        <f>B198*(1+UF_Assumptions_2!B22)</f>
        <v>18538.912516379562</v>
      </c>
      <c r="D198" s="88">
        <f>C198*(1+UF_Assumptions_2!C22)</f>
        <v>19391.702492133023</v>
      </c>
      <c r="E198" s="88">
        <f>D198*(1+UF_Assumptions_2!D22)</f>
        <v>20264.329104279008</v>
      </c>
      <c r="F198" s="88">
        <f>E198*(1+UF_Assumptions_2!E22)</f>
        <v>21155.959584867283</v>
      </c>
      <c r="G198" s="88">
        <f>F198*(1+UF_Assumptions_2!F22)</f>
        <v>22086.821806601445</v>
      </c>
      <c r="H198" s="88">
        <f>G198*(1+UF_Assumptions_2!G22)</f>
        <v>23058.641966091909</v>
      </c>
      <c r="I198" s="88">
        <f>H198*(1+UF_Assumptions_2!H22)</f>
        <v>24096.280854566045</v>
      </c>
      <c r="J198" s="88">
        <f>I198*(1+UF_Assumptions_2!I22)</f>
        <v>25180.613493021516</v>
      </c>
      <c r="K198" s="88">
        <f>J198*(1+UF_Assumptions_2!J22)</f>
        <v>26313.74110020748</v>
      </c>
      <c r="O198" s="13"/>
      <c r="P198" s="269"/>
    </row>
    <row r="199" spans="1:16">
      <c r="A199" t="s">
        <v>18</v>
      </c>
      <c r="B199" s="88">
        <f t="shared" si="54"/>
        <v>30129.715383992829</v>
      </c>
      <c r="C199" s="88">
        <f>B199*(1+UF_Assumptions_2!B23)</f>
        <v>31455.422860888513</v>
      </c>
      <c r="D199" s="88">
        <f>C199*(1+UF_Assumptions_2!C23)</f>
        <v>32902.372312489388</v>
      </c>
      <c r="E199" s="88">
        <f>D199*(1+UF_Assumptions_2!D23)</f>
        <v>34382.979066551408</v>
      </c>
      <c r="F199" s="88">
        <f>E199*(1+UF_Assumptions_2!E23)</f>
        <v>35895.830145479675</v>
      </c>
      <c r="G199" s="88">
        <f>F199*(1+UF_Assumptions_2!F23)</f>
        <v>37475.246671880785</v>
      </c>
      <c r="H199" s="88">
        <f>G199*(1+UF_Assumptions_2!G23)</f>
        <v>39124.157525443537</v>
      </c>
      <c r="I199" s="88">
        <f>H199*(1+UF_Assumptions_2!H23)</f>
        <v>40884.744614088493</v>
      </c>
      <c r="J199" s="88">
        <f>I199*(1+UF_Assumptions_2!I23)</f>
        <v>42724.558121722475</v>
      </c>
      <c r="K199" s="88">
        <f>J199*(1+UF_Assumptions_2!J23)</f>
        <v>44647.16323719998</v>
      </c>
      <c r="O199" s="13"/>
      <c r="P199" s="269"/>
    </row>
    <row r="200" spans="1:16">
      <c r="A200" t="s">
        <v>16</v>
      </c>
      <c r="B200" s="88">
        <f t="shared" si="54"/>
        <v>9782.1964709051808</v>
      </c>
      <c r="C200" s="88">
        <f>B200*(1+UF_Assumptions_2!B24)</f>
        <v>10212.613115625009</v>
      </c>
      <c r="D200" s="88">
        <f>C200*(1+UF_Assumptions_2!C24)</f>
        <v>10682.393318943759</v>
      </c>
      <c r="E200" s="88">
        <f>D200*(1+UF_Assumptions_2!D24)</f>
        <v>11163.101018296227</v>
      </c>
      <c r="F200" s="88">
        <f>E200*(1+UF_Assumptions_2!E24)</f>
        <v>11654.277463101262</v>
      </c>
      <c r="G200" s="88">
        <f>F200*(1+UF_Assumptions_2!F24)</f>
        <v>12167.065671477718</v>
      </c>
      <c r="H200" s="88">
        <f>G200*(1+UF_Assumptions_2!G24)</f>
        <v>12702.416561022737</v>
      </c>
      <c r="I200" s="88">
        <f>H200*(1+UF_Assumptions_2!H24)</f>
        <v>13274.025306268759</v>
      </c>
      <c r="J200" s="88">
        <f>I200*(1+UF_Assumptions_2!I24)</f>
        <v>13871.356445050853</v>
      </c>
      <c r="K200" s="88">
        <f>J200*(1+UF_Assumptions_2!J24)</f>
        <v>14495.56748507814</v>
      </c>
      <c r="O200" s="13"/>
      <c r="P200" s="269"/>
    </row>
    <row r="201" spans="1:16">
      <c r="A201" t="s">
        <v>11</v>
      </c>
      <c r="B201" s="88">
        <f t="shared" si="54"/>
        <v>6255.1260573301888</v>
      </c>
      <c r="C201" s="88">
        <f>B201*(1+UF_Assumptions_2!B25)</f>
        <v>6530.3516038527177</v>
      </c>
      <c r="D201" s="88">
        <f>C201*(1+UF_Assumptions_2!C25)</f>
        <v>6830.7477776299429</v>
      </c>
      <c r="E201" s="88">
        <f>D201*(1+UF_Assumptions_2!D25)</f>
        <v>7138.1314276232897</v>
      </c>
      <c r="F201" s="88">
        <f>E201*(1+UF_Assumptions_2!E25)</f>
        <v>7452.2092104387148</v>
      </c>
      <c r="G201" s="88">
        <f>F201*(1+UF_Assumptions_2!F25)</f>
        <v>7780.1064156980183</v>
      </c>
      <c r="H201" s="88">
        <f>G201*(1+UF_Assumptions_2!G25)</f>
        <v>8122.4310979887314</v>
      </c>
      <c r="I201" s="88">
        <f>H201*(1+UF_Assumptions_2!H25)</f>
        <v>8487.9404973982237</v>
      </c>
      <c r="J201" s="88">
        <f>I201*(1+UF_Assumptions_2!I25)</f>
        <v>8869.897819781143</v>
      </c>
      <c r="K201" s="88">
        <f>J201*(1+UF_Assumptions_2!J25)</f>
        <v>9269.0432216712943</v>
      </c>
      <c r="O201" s="13"/>
      <c r="P201" s="269"/>
    </row>
    <row r="202" spans="1:16">
      <c r="A202" t="s">
        <v>13</v>
      </c>
      <c r="B202" s="285">
        <f t="shared" si="54"/>
        <v>13015.934321462773</v>
      </c>
      <c r="C202" s="285">
        <f t="shared" ref="C202:K202" si="55">C185</f>
        <v>13476.024721270978</v>
      </c>
      <c r="D202" s="285">
        <f t="shared" si="55"/>
        <v>13923.220163679234</v>
      </c>
      <c r="E202" s="285">
        <f t="shared" si="55"/>
        <v>14458.753862211928</v>
      </c>
      <c r="F202" s="285">
        <f t="shared" si="55"/>
        <v>15047.036138730071</v>
      </c>
      <c r="G202" s="285">
        <f t="shared" si="55"/>
        <v>15608.734786912868</v>
      </c>
      <c r="H202" s="285">
        <f t="shared" si="55"/>
        <v>16159.948137089295</v>
      </c>
      <c r="I202" s="285">
        <f t="shared" si="55"/>
        <v>16766.700865673727</v>
      </c>
      <c r="J202" s="285">
        <f t="shared" si="55"/>
        <v>17396.231249972214</v>
      </c>
      <c r="K202" s="285">
        <f t="shared" si="55"/>
        <v>18049.393987394586</v>
      </c>
      <c r="O202" s="13"/>
      <c r="P202" s="269"/>
    </row>
    <row r="203" spans="1:16">
      <c r="A203" s="6" t="s">
        <v>71</v>
      </c>
      <c r="B203" s="88">
        <f t="shared" si="54"/>
        <v>28791.565066927964</v>
      </c>
      <c r="C203" s="88">
        <f>B203*(1+UF_Assumptions_2!B27)</f>
        <v>30058.393929872796</v>
      </c>
      <c r="D203" s="88">
        <f>C203*(1+UF_Assumptions_2!C27)</f>
        <v>31441.080050646946</v>
      </c>
      <c r="E203" s="88">
        <f>D203*(1+UF_Assumptions_2!D27)</f>
        <v>32855.928652926057</v>
      </c>
      <c r="F203" s="88">
        <f>E203*(1+UF_Assumptions_2!E27)</f>
        <v>34301.589513654806</v>
      </c>
      <c r="G203" s="88">
        <f>F203*(1+UF_Assumptions_2!F27)</f>
        <v>35810.859452255616</v>
      </c>
      <c r="H203" s="88">
        <f>G203*(1+UF_Assumptions_2!G27)</f>
        <v>37386.537268154862</v>
      </c>
      <c r="I203" s="88">
        <f>H203*(1+UF_Assumptions_2!H27)</f>
        <v>39068.931445221824</v>
      </c>
      <c r="J203" s="88">
        <f>I203*(1+UF_Assumptions_2!I27)</f>
        <v>40827.033360256806</v>
      </c>
      <c r="K203" s="88">
        <f>J203*(1+UF_Assumptions_2!J27)</f>
        <v>42664.249861468357</v>
      </c>
      <c r="O203" s="13"/>
      <c r="P203" s="269"/>
    </row>
    <row r="204" spans="1:16">
      <c r="A204" s="6" t="s">
        <v>166</v>
      </c>
      <c r="B204" s="285">
        <f>B187*(SUM(B192:B201)/SUM(B175:B184))</f>
        <v>14337.304477511074</v>
      </c>
      <c r="C204" s="285">
        <f t="shared" ref="C204:K204" si="56">C187*(SUM(C192:C201)/SUM(C175:C184))</f>
        <v>14968.145874521566</v>
      </c>
      <c r="D204" s="285">
        <f t="shared" si="56"/>
        <v>15656.680584749556</v>
      </c>
      <c r="E204" s="285">
        <f t="shared" si="56"/>
        <v>16361.23121106329</v>
      </c>
      <c r="F204" s="285">
        <f t="shared" si="56"/>
        <v>17081.125384350078</v>
      </c>
      <c r="G204" s="285">
        <f t="shared" si="56"/>
        <v>17832.694901261475</v>
      </c>
      <c r="H204" s="285">
        <f t="shared" si="56"/>
        <v>18617.333476916985</v>
      </c>
      <c r="I204" s="285">
        <f t="shared" si="56"/>
        <v>19455.113483378245</v>
      </c>
      <c r="J204" s="285">
        <f t="shared" si="56"/>
        <v>20330.593590130258</v>
      </c>
      <c r="K204" s="285">
        <f t="shared" si="56"/>
        <v>21245.470301686131</v>
      </c>
      <c r="L204" s="299"/>
      <c r="M204" s="299"/>
      <c r="N204" s="261">
        <f>K204/(SUM(K192:K201)+K204)</f>
        <v>3.0000000000000006E-2</v>
      </c>
      <c r="O204" s="13"/>
      <c r="P204" s="269"/>
    </row>
    <row r="205" spans="1:16">
      <c r="A205" s="212" t="s">
        <v>218</v>
      </c>
      <c r="B205" s="88">
        <f>B188</f>
        <v>2085.3611888863684</v>
      </c>
      <c r="C205" s="88">
        <f t="shared" ref="C205:K205" si="57">C170</f>
        <v>2085.3611888863684</v>
      </c>
      <c r="D205" s="88">
        <f t="shared" si="57"/>
        <v>2085.3611888863684</v>
      </c>
      <c r="E205" s="88">
        <f t="shared" si="57"/>
        <v>2085.3611888863684</v>
      </c>
      <c r="F205" s="88">
        <f t="shared" si="57"/>
        <v>2085.3611888863684</v>
      </c>
      <c r="G205" s="88">
        <f t="shared" si="57"/>
        <v>2085.3611888863684</v>
      </c>
      <c r="H205" s="88">
        <f t="shared" si="57"/>
        <v>2085.3611888863684</v>
      </c>
      <c r="I205" s="88">
        <f t="shared" si="57"/>
        <v>2085.3611888863684</v>
      </c>
      <c r="J205" s="88">
        <f t="shared" si="57"/>
        <v>2085.3611888863684</v>
      </c>
      <c r="K205" s="88">
        <f t="shared" si="57"/>
        <v>2085.3611888863684</v>
      </c>
      <c r="O205" s="13"/>
      <c r="P205" s="269"/>
    </row>
    <row r="206" spans="1:16">
      <c r="A206" s="211" t="s">
        <v>276</v>
      </c>
      <c r="B206" s="285">
        <f>B189</f>
        <v>5330.1132770442609</v>
      </c>
      <c r="C206" s="285">
        <f t="shared" ref="C206:K206" si="58">C189</f>
        <v>5506.552242045861</v>
      </c>
      <c r="D206" s="285">
        <f t="shared" si="58"/>
        <v>5712.075687240942</v>
      </c>
      <c r="E206" s="285">
        <f t="shared" si="58"/>
        <v>5902.8047756031974</v>
      </c>
      <c r="F206" s="285">
        <f t="shared" si="58"/>
        <v>6077.6056308944699</v>
      </c>
      <c r="G206" s="285">
        <f t="shared" si="58"/>
        <v>6263.7425656943451</v>
      </c>
      <c r="H206" s="285">
        <f t="shared" si="58"/>
        <v>6452.5690717433672</v>
      </c>
      <c r="I206" s="285">
        <f t="shared" si="58"/>
        <v>6647.1972102670579</v>
      </c>
      <c r="J206" s="285">
        <f t="shared" si="58"/>
        <v>6841.4444262397956</v>
      </c>
      <c r="K206" s="285">
        <f t="shared" si="58"/>
        <v>7034.6234214260548</v>
      </c>
      <c r="O206" s="17"/>
      <c r="P206" s="269"/>
    </row>
    <row r="207" spans="1:16">
      <c r="A207" s="6" t="s">
        <v>98</v>
      </c>
      <c r="B207" s="88">
        <f>SUM(B192:B206)</f>
        <v>527133.12310469057</v>
      </c>
      <c r="C207" s="88">
        <f t="shared" ref="C207:K207" si="59">SUM(C192:C206)</f>
        <v>550064.52789946145</v>
      </c>
      <c r="D207" s="88">
        <f t="shared" si="59"/>
        <v>575051.08991543867</v>
      </c>
      <c r="E207" s="88">
        <f t="shared" si="59"/>
        <v>600677.22218173731</v>
      </c>
      <c r="F207" s="88">
        <f t="shared" si="59"/>
        <v>626882.43861716823</v>
      </c>
      <c r="G207" s="88">
        <f t="shared" si="59"/>
        <v>654191.86136913183</v>
      </c>
      <c r="H207" s="88">
        <f t="shared" si="59"/>
        <v>682662.19822977344</v>
      </c>
      <c r="I207" s="88">
        <f t="shared" si="59"/>
        <v>713071.97348932363</v>
      </c>
      <c r="J207" s="88">
        <f t="shared" si="59"/>
        <v>744836.52322969714</v>
      </c>
      <c r="K207" s="88">
        <f t="shared" si="59"/>
        <v>778015.97184871288</v>
      </c>
      <c r="L207" s="56">
        <f>(B207-B190)/$B$19</f>
        <v>0</v>
      </c>
      <c r="M207" s="56">
        <f>(K207-K190)/$K$19</f>
        <v>-0.10058326585777985</v>
      </c>
      <c r="O207" s="88"/>
      <c r="P207" s="269"/>
    </row>
    <row r="208" spans="1:16" s="287" customFormat="1">
      <c r="A208" s="287" t="s">
        <v>98</v>
      </c>
      <c r="K208" s="288">
        <f>K207/K19-1</f>
        <v>-8.5138783672887519E-2</v>
      </c>
      <c r="L208" s="301">
        <f>L173+L207</f>
        <v>-3.0656010588608597E-2</v>
      </c>
      <c r="M208" s="301">
        <f>M173+M207</f>
        <v>-0.13527977477277833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8"/>
  <sheetViews>
    <sheetView workbookViewId="0">
      <selection activeCell="D7" sqref="D7"/>
    </sheetView>
  </sheetViews>
  <sheetFormatPr defaultColWidth="8.81640625" defaultRowHeight="14.5"/>
  <cols>
    <col min="1" max="1" width="63.453125" bestFit="1" customWidth="1"/>
    <col min="2" max="2" width="19" bestFit="1" customWidth="1"/>
    <col min="3" max="11" width="10" bestFit="1" customWidth="1"/>
    <col min="12" max="13" width="11.7265625" style="56" bestFit="1" customWidth="1"/>
    <col min="14" max="14" width="15.81640625" customWidth="1"/>
    <col min="15" max="15" width="11.1796875" customWidth="1"/>
    <col min="16" max="16" width="12.453125" customWidth="1"/>
  </cols>
  <sheetData>
    <row r="1" spans="1:14">
      <c r="A1" s="313" t="s">
        <v>377</v>
      </c>
    </row>
    <row r="2" spans="1:14">
      <c r="A2" s="7" t="s">
        <v>313</v>
      </c>
      <c r="L2" s="56" t="s">
        <v>343</v>
      </c>
      <c r="M2" s="56" t="s">
        <v>344</v>
      </c>
      <c r="N2" t="s">
        <v>316</v>
      </c>
    </row>
    <row r="3" spans="1:14">
      <c r="B3">
        <v>2022</v>
      </c>
      <c r="C3">
        <v>2023</v>
      </c>
      <c r="D3">
        <v>2024</v>
      </c>
      <c r="E3">
        <v>2025</v>
      </c>
      <c r="F3">
        <v>2026</v>
      </c>
      <c r="G3">
        <v>2027</v>
      </c>
      <c r="H3">
        <v>2028</v>
      </c>
      <c r="I3">
        <v>2029</v>
      </c>
      <c r="J3">
        <v>2030</v>
      </c>
      <c r="K3">
        <v>2031</v>
      </c>
    </row>
    <row r="4" spans="1:14">
      <c r="A4" t="s">
        <v>4</v>
      </c>
      <c r="B4" s="13">
        <f>Baseline!J22</f>
        <v>159625.36908519344</v>
      </c>
      <c r="C4" s="13">
        <f>Baseline!K22</f>
        <v>169100.1431667142</v>
      </c>
      <c r="D4" s="13">
        <f>Baseline!L22</f>
        <v>178939.90936046341</v>
      </c>
      <c r="E4" s="13">
        <f>Baseline!M22</f>
        <v>189760.97312036945</v>
      </c>
      <c r="F4" s="13">
        <f>Baseline!N22</f>
        <v>201849.14932877882</v>
      </c>
      <c r="G4" s="13">
        <f>Baseline!O22</f>
        <v>213826.17371437998</v>
      </c>
      <c r="H4" s="13">
        <f>Baseline!P22</f>
        <v>226510.70725230203</v>
      </c>
      <c r="I4" s="13">
        <f>Baseline!Q22</f>
        <v>240226.25472700177</v>
      </c>
      <c r="J4" s="13">
        <f>Baseline!R22</f>
        <v>254772.24100852068</v>
      </c>
      <c r="K4" s="13">
        <f>Baseline!S22</f>
        <v>270198.93990744982</v>
      </c>
    </row>
    <row r="5" spans="1:14">
      <c r="A5" t="s">
        <v>5</v>
      </c>
      <c r="B5" s="13">
        <f>Baseline!J23</f>
        <v>116050.8649671637</v>
      </c>
      <c r="C5" s="13">
        <f>Baseline!K23</f>
        <v>122474.8573007146</v>
      </c>
      <c r="D5" s="13">
        <f>Baseline!L23</f>
        <v>129234.05509279952</v>
      </c>
      <c r="E5" s="13">
        <f>Baseline!M23</f>
        <v>136790.66473443585</v>
      </c>
      <c r="F5" s="13">
        <f>Baseline!N23</f>
        <v>144409.47189377464</v>
      </c>
      <c r="G5" s="13">
        <f>Baseline!O23</f>
        <v>152544.86011450438</v>
      </c>
      <c r="H5" s="13">
        <f>Baseline!P23</f>
        <v>161136.30794560839</v>
      </c>
      <c r="I5" s="13">
        <f>Baseline!Q23</f>
        <v>170141.21787946645</v>
      </c>
      <c r="J5" s="13">
        <f>Baseline!R23</f>
        <v>179649.31609143686</v>
      </c>
      <c r="K5" s="13">
        <f>Baseline!S23</f>
        <v>189688.71567750094</v>
      </c>
    </row>
    <row r="6" spans="1:14">
      <c r="A6" t="s">
        <v>6</v>
      </c>
      <c r="B6" s="13">
        <f>Baseline!J24</f>
        <v>13214.904741473663</v>
      </c>
      <c r="C6" s="13">
        <f>Baseline!K24</f>
        <v>13946.4154180365</v>
      </c>
      <c r="D6" s="13">
        <f>Baseline!L24</f>
        <v>14716.09649690183</v>
      </c>
      <c r="E6" s="13">
        <f>Baseline!M24</f>
        <v>15517.689525153992</v>
      </c>
      <c r="F6" s="13">
        <f>Baseline!N24</f>
        <v>16366.447787771269</v>
      </c>
      <c r="G6" s="13">
        <f>Baseline!O24</f>
        <v>17272.089112584275</v>
      </c>
      <c r="H6" s="13">
        <f>Baseline!P24</f>
        <v>18210.312234652982</v>
      </c>
      <c r="I6" s="13">
        <f>Baseline!Q24</f>
        <v>19203.688353271264</v>
      </c>
      <c r="J6" s="13">
        <f>Baseline!R24</f>
        <v>20251.248786461161</v>
      </c>
      <c r="K6" s="13">
        <f>Baseline!S24</f>
        <v>21355.948524973879</v>
      </c>
    </row>
    <row r="7" spans="1:14">
      <c r="A7" t="s">
        <v>7</v>
      </c>
      <c r="B7" s="13">
        <f>Baseline!J25</f>
        <v>20748.242731869101</v>
      </c>
      <c r="C7" s="13">
        <f>Baseline!K25</f>
        <v>21668.453656984439</v>
      </c>
      <c r="D7" s="13">
        <f>Baseline!L25</f>
        <v>22625.906506454136</v>
      </c>
      <c r="E7" s="13">
        <f>Baseline!M25</f>
        <v>23631.990719503716</v>
      </c>
      <c r="F7" s="13">
        <f>Baseline!N25</f>
        <v>24688.094222345684</v>
      </c>
      <c r="G7" s="13">
        <f>Baseline!O25</f>
        <v>25757.864583768816</v>
      </c>
      <c r="H7" s="13">
        <f>Baseline!P25</f>
        <v>26873.614038626438</v>
      </c>
      <c r="I7" s="13">
        <f>Baseline!Q25</f>
        <v>28043.904418972677</v>
      </c>
      <c r="J7" s="13">
        <f>Baseline!R25</f>
        <v>29265.15195518715</v>
      </c>
      <c r="K7" s="13">
        <f>Baseline!S25</f>
        <v>30539.574756058875</v>
      </c>
    </row>
    <row r="8" spans="1:14">
      <c r="A8" t="s">
        <v>8</v>
      </c>
      <c r="B8" s="13">
        <f>Baseline!J26</f>
        <v>28689.635954420595</v>
      </c>
      <c r="C8" s="13">
        <f>Baseline!K26</f>
        <v>30335.148515759727</v>
      </c>
      <c r="D8" s="13">
        <f>Baseline!L26</f>
        <v>31948.617271280385</v>
      </c>
      <c r="E8" s="13">
        <f>Baseline!M26</f>
        <v>33784.762834506182</v>
      </c>
      <c r="F8" s="13">
        <f>Baseline!N26</f>
        <v>35734.081370261993</v>
      </c>
      <c r="G8" s="13">
        <f>Baseline!O26</f>
        <v>37782.926230403427</v>
      </c>
      <c r="H8" s="13">
        <f>Baseline!P26</f>
        <v>39910.890682114885</v>
      </c>
      <c r="I8" s="13">
        <f>Baseline!Q26</f>
        <v>42181.182194971159</v>
      </c>
      <c r="J8" s="13">
        <f>Baseline!R26</f>
        <v>44580.606980834782</v>
      </c>
      <c r="K8" s="13">
        <f>Baseline!S26</f>
        <v>47116.508905555907</v>
      </c>
    </row>
    <row r="9" spans="1:14">
      <c r="A9" t="s">
        <v>9</v>
      </c>
      <c r="B9" s="13">
        <f>Baseline!J27</f>
        <v>18574.742866293738</v>
      </c>
      <c r="C9" s="13">
        <f>Baseline!K27</f>
        <v>19918.824104792944</v>
      </c>
      <c r="D9" s="13">
        <f>Baseline!L27</f>
        <v>21316.948906552647</v>
      </c>
      <c r="E9" s="13">
        <f>Baseline!M27</f>
        <v>22840.643515518419</v>
      </c>
      <c r="F9" s="13">
        <f>Baseline!N27</f>
        <v>24455.631030424964</v>
      </c>
      <c r="G9" s="13">
        <f>Baseline!O27</f>
        <v>26224.767091935781</v>
      </c>
      <c r="H9" s="13">
        <f>Baseline!P27</f>
        <v>28121.490569323119</v>
      </c>
      <c r="I9" s="13">
        <f>Baseline!Q27</f>
        <v>30133.687089869396</v>
      </c>
      <c r="J9" s="13">
        <f>Baseline!R27</f>
        <v>32289.856451626969</v>
      </c>
      <c r="K9" s="13">
        <f>Baseline!S27</f>
        <v>34600.298954835205</v>
      </c>
    </row>
    <row r="10" spans="1:14">
      <c r="A10" t="s">
        <v>10</v>
      </c>
      <c r="B10" s="13">
        <f>Baseline!J28</f>
        <v>19314.903208446871</v>
      </c>
      <c r="C10" s="13">
        <f>Baseline!K28</f>
        <v>20248.829312751863</v>
      </c>
      <c r="D10" s="13">
        <f>Baseline!L28</f>
        <v>21163.806395663054</v>
      </c>
      <c r="E10" s="13">
        <f>Baseline!M28</f>
        <v>22126.050076564541</v>
      </c>
      <c r="F10" s="13">
        <f>Baseline!N28</f>
        <v>23181.275733174672</v>
      </c>
      <c r="G10" s="13">
        <f>Baseline!O28</f>
        <v>24324.88535007407</v>
      </c>
      <c r="H10" s="13">
        <f>Baseline!P28</f>
        <v>25597.553137678322</v>
      </c>
      <c r="I10" s="13">
        <f>Baseline!Q28</f>
        <v>26865.890611128772</v>
      </c>
      <c r="J10" s="13">
        <f>Baseline!R28</f>
        <v>28197.066818839965</v>
      </c>
      <c r="K10" s="13">
        <f>Baseline!S28</f>
        <v>29594.194354944852</v>
      </c>
    </row>
    <row r="11" spans="1:14">
      <c r="A11" t="s">
        <v>18</v>
      </c>
      <c r="B11" s="13">
        <f>Baseline!J29</f>
        <v>43283.768889341547</v>
      </c>
      <c r="C11" s="13">
        <f>Baseline!K29</f>
        <v>45809.635683843742</v>
      </c>
      <c r="D11" s="13">
        <f>Baseline!L29</f>
        <v>48521.06984137556</v>
      </c>
      <c r="E11" s="13">
        <f>Baseline!M29</f>
        <v>51358.207342961832</v>
      </c>
      <c r="F11" s="13">
        <f>Baseline!N29</f>
        <v>54475.65762096009</v>
      </c>
      <c r="G11" s="13">
        <f>Baseline!O29</f>
        <v>57762.546077953564</v>
      </c>
      <c r="H11" s="13">
        <f>Baseline!P29</f>
        <v>61189.118888166522</v>
      </c>
      <c r="I11" s="13">
        <f>Baseline!Q29</f>
        <v>64853.406465689412</v>
      </c>
      <c r="J11" s="13">
        <f>Baseline!R29</f>
        <v>68737.11310099042</v>
      </c>
      <c r="K11" s="13">
        <f>Baseline!S29</f>
        <v>72853.375825008727</v>
      </c>
    </row>
    <row r="12" spans="1:14">
      <c r="A12" t="s">
        <v>16</v>
      </c>
      <c r="B12" s="13">
        <f>Baseline!J30</f>
        <v>9637.1769998811087</v>
      </c>
      <c r="C12" s="13">
        <f>Baseline!K30</f>
        <v>10083.87888270471</v>
      </c>
      <c r="D12" s="13">
        <f>Baseline!L30</f>
        <v>10559.707107985336</v>
      </c>
      <c r="E12" s="13">
        <f>Baseline!M30</f>
        <v>11060.948612131126</v>
      </c>
      <c r="F12" s="13">
        <f>Baseline!N30</f>
        <v>11588.462412451476</v>
      </c>
      <c r="G12" s="13">
        <f>Baseline!O30</f>
        <v>12148.56775369268</v>
      </c>
      <c r="H12" s="13">
        <f>Baseline!P30</f>
        <v>12735.566684289943</v>
      </c>
      <c r="I12" s="13">
        <f>Baseline!Q30</f>
        <v>13345.373113401587</v>
      </c>
      <c r="J12" s="13">
        <f>Baseline!R30</f>
        <v>13984.375250099914</v>
      </c>
      <c r="K12" s="13">
        <f>Baseline!S30</f>
        <v>14653.970556324568</v>
      </c>
    </row>
    <row r="13" spans="1:14">
      <c r="A13" t="s">
        <v>11</v>
      </c>
      <c r="B13" s="13">
        <f>Baseline!J31</f>
        <v>5567.7527166346454</v>
      </c>
      <c r="C13" s="13">
        <f>Baseline!K31</f>
        <v>5898.23401440212</v>
      </c>
      <c r="D13" s="13">
        <f>Baseline!L31</f>
        <v>6247.34557001762</v>
      </c>
      <c r="E13" s="13">
        <f>Baseline!M31</f>
        <v>6618.8922334431563</v>
      </c>
      <c r="F13" s="13">
        <f>Baseline!N31</f>
        <v>7014.036641982756</v>
      </c>
      <c r="G13" s="13">
        <f>Baseline!O31</f>
        <v>7444.2576392729952</v>
      </c>
      <c r="H13" s="13">
        <f>Baseline!P31</f>
        <v>7863.524149472707</v>
      </c>
      <c r="I13" s="13">
        <f>Baseline!Q31</f>
        <v>8326.5632206017526</v>
      </c>
      <c r="J13" s="13">
        <f>Baseline!R31</f>
        <v>8816.8660993801132</v>
      </c>
      <c r="K13" s="13">
        <f>Baseline!S31</f>
        <v>9336.0378445872284</v>
      </c>
    </row>
    <row r="14" spans="1:14">
      <c r="A14" t="s">
        <v>13</v>
      </c>
      <c r="B14" s="17">
        <f>Baseline!J35</f>
        <v>13015.934321462773</v>
      </c>
      <c r="C14" s="17">
        <f>Baseline!K35</f>
        <v>13476.024721270978</v>
      </c>
      <c r="D14" s="17">
        <f>Baseline!L35</f>
        <v>13923.220163679234</v>
      </c>
      <c r="E14" s="17">
        <f>Baseline!M35</f>
        <v>14458.753862211928</v>
      </c>
      <c r="F14" s="17">
        <f>Baseline!N35</f>
        <v>15047.036138730071</v>
      </c>
      <c r="G14" s="17">
        <f>Baseline!O35</f>
        <v>15608.734786912868</v>
      </c>
      <c r="H14" s="17">
        <f>Baseline!P35</f>
        <v>16159.948137089295</v>
      </c>
      <c r="I14" s="17">
        <f>Baseline!Q35</f>
        <v>16766.700865673727</v>
      </c>
      <c r="J14" s="17">
        <f>Baseline!R35</f>
        <v>17396.231249972214</v>
      </c>
      <c r="K14" s="17">
        <f>Baseline!S35</f>
        <v>18049.393987394586</v>
      </c>
      <c r="L14" s="299"/>
    </row>
    <row r="15" spans="1:14">
      <c r="A15" s="6" t="s">
        <v>71</v>
      </c>
      <c r="B15" s="17">
        <f>Baseline!J36</f>
        <v>28791.565066927964</v>
      </c>
      <c r="C15" s="17">
        <f>Baseline!K36</f>
        <v>30298.917575967578</v>
      </c>
      <c r="D15" s="17">
        <f>Baseline!L36</f>
        <v>31880.154947029732</v>
      </c>
      <c r="E15" s="17">
        <f>Baseline!M36</f>
        <v>33584.788311616554</v>
      </c>
      <c r="F15" s="17">
        <f>Baseline!N36</f>
        <v>35388.140800757341</v>
      </c>
      <c r="G15" s="17">
        <f>Baseline!O36</f>
        <v>37275.55331184082</v>
      </c>
      <c r="H15" s="17">
        <f>Baseline!P36</f>
        <v>39225.794609276592</v>
      </c>
      <c r="I15" s="17">
        <f>Baseline!Q36</f>
        <v>41300.179658613044</v>
      </c>
      <c r="J15" s="17">
        <f>Baseline!R36</f>
        <v>43484.255035020928</v>
      </c>
      <c r="K15" s="17">
        <f>Baseline!S36</f>
        <v>45783.819883571348</v>
      </c>
      <c r="L15" s="299"/>
    </row>
    <row r="16" spans="1:14">
      <c r="A16" s="6" t="s">
        <v>166</v>
      </c>
      <c r="B16" s="281">
        <f>Baseline!J32</f>
        <v>40491.407184044234</v>
      </c>
      <c r="C16" s="281">
        <f>Baseline!K32</f>
        <v>42831.099166405227</v>
      </c>
      <c r="D16" s="281">
        <f>Baseline!L32</f>
        <v>45221.211699974061</v>
      </c>
      <c r="E16" s="281">
        <f>Baseline!M32</f>
        <v>47776.124905161938</v>
      </c>
      <c r="F16" s="281">
        <f>Baseline!N32</f>
        <v>50517.397285653293</v>
      </c>
      <c r="G16" s="281">
        <f>Baseline!O32</f>
        <v>53438.999426354909</v>
      </c>
      <c r="H16" s="281">
        <f>Baseline!P32</f>
        <v>56442.84598766367</v>
      </c>
      <c r="I16" s="281">
        <f>Baseline!Q32</f>
        <v>59657.080290029167</v>
      </c>
      <c r="J16" s="281">
        <f>Baseline!R32</f>
        <v>63055.54965748133</v>
      </c>
      <c r="K16" s="281">
        <f>Baseline!S32</f>
        <v>66648.888814944497</v>
      </c>
      <c r="L16" s="300"/>
      <c r="N16" s="269">
        <f>K16/(SUM(K4:K13)+K16)</f>
        <v>8.4731803434529504E-2</v>
      </c>
    </row>
    <row r="17" spans="1:11">
      <c r="A17" s="212" t="s">
        <v>218</v>
      </c>
      <c r="B17" s="13">
        <v>0</v>
      </c>
      <c r="C17" s="13">
        <v>0</v>
      </c>
      <c r="D17" s="13">
        <v>0</v>
      </c>
      <c r="E17" s="13">
        <v>0</v>
      </c>
      <c r="F17" s="13">
        <v>0</v>
      </c>
      <c r="G17" s="13">
        <v>0</v>
      </c>
      <c r="H17" s="13">
        <v>0</v>
      </c>
      <c r="I17" s="13">
        <v>0</v>
      </c>
      <c r="J17" s="13">
        <v>0</v>
      </c>
      <c r="K17" s="13">
        <v>0</v>
      </c>
    </row>
    <row r="18" spans="1:11">
      <c r="A18" s="211" t="s">
        <v>276</v>
      </c>
      <c r="B18" s="13">
        <v>0</v>
      </c>
      <c r="C18" s="13">
        <v>0</v>
      </c>
      <c r="D18" s="13">
        <v>0</v>
      </c>
      <c r="E18" s="13">
        <v>0</v>
      </c>
      <c r="F18" s="13">
        <v>0</v>
      </c>
      <c r="G18" s="13">
        <v>0</v>
      </c>
      <c r="H18" s="13">
        <v>0</v>
      </c>
      <c r="I18" s="13">
        <v>0</v>
      </c>
      <c r="J18" s="13">
        <v>0</v>
      </c>
      <c r="K18" s="13">
        <v>0</v>
      </c>
    </row>
    <row r="19" spans="1:11">
      <c r="A19" s="6" t="s">
        <v>98</v>
      </c>
      <c r="B19" s="13">
        <f>SUM(B4:B18)</f>
        <v>517006.26873315347</v>
      </c>
      <c r="C19" s="13">
        <f t="shared" ref="C19:K19" si="0">SUM(C4:C18)</f>
        <v>546090.46152034868</v>
      </c>
      <c r="D19" s="13">
        <f t="shared" si="0"/>
        <v>576298.04936017655</v>
      </c>
      <c r="E19" s="13">
        <f t="shared" si="0"/>
        <v>609310.48979357863</v>
      </c>
      <c r="F19" s="13">
        <f t="shared" si="0"/>
        <v>644714.88226706709</v>
      </c>
      <c r="G19" s="13">
        <f t="shared" si="0"/>
        <v>681412.22519367852</v>
      </c>
      <c r="H19" s="13">
        <f t="shared" si="0"/>
        <v>719977.67431626492</v>
      </c>
      <c r="I19" s="13">
        <f t="shared" si="0"/>
        <v>761045.12888869026</v>
      </c>
      <c r="J19" s="13">
        <f t="shared" si="0"/>
        <v>804479.8784858525</v>
      </c>
      <c r="K19" s="13">
        <f t="shared" si="0"/>
        <v>850419.66799315054</v>
      </c>
    </row>
    <row r="20" spans="1:11">
      <c r="A20" s="210" t="s">
        <v>340</v>
      </c>
    </row>
    <row r="21" spans="1:11">
      <c r="A21" t="s">
        <v>4</v>
      </c>
      <c r="B21" s="88">
        <f>B4*UF_Assumptions_1!$B4</f>
        <v>160982.18472241759</v>
      </c>
      <c r="C21" s="88">
        <f>C4*UF_Assumptions_1!$B4</f>
        <v>170537.49438363127</v>
      </c>
      <c r="D21" s="88">
        <f>D4*UF_Assumptions_1!$B4</f>
        <v>180460.89859002735</v>
      </c>
      <c r="E21" s="88">
        <f>E4*UF_Assumptions_1!$B4</f>
        <v>191373.94139189259</v>
      </c>
      <c r="F21" s="88">
        <f>F4*UF_Assumptions_1!$B4</f>
        <v>203564.86709807342</v>
      </c>
      <c r="G21" s="88">
        <f>G4*UF_Assumptions_1!$B4</f>
        <v>215643.69619095221</v>
      </c>
      <c r="H21" s="88">
        <f>H4*UF_Assumptions_1!$B4</f>
        <v>228436.04826394658</v>
      </c>
      <c r="I21" s="88">
        <f>I4*UF_Assumptions_1!$B4</f>
        <v>242268.17789218127</v>
      </c>
      <c r="J21" s="88">
        <f>J4*UF_Assumptions_1!$B4</f>
        <v>256937.80505709309</v>
      </c>
      <c r="K21" s="88">
        <f>K4*UF_Assumptions_1!$B4</f>
        <v>272495.63089666312</v>
      </c>
    </row>
    <row r="22" spans="1:11">
      <c r="A22" t="s">
        <v>5</v>
      </c>
      <c r="B22" s="88">
        <f>B5*UF_Assumptions_1!$B5</f>
        <v>118023.72967160547</v>
      </c>
      <c r="C22" s="88">
        <f>C5*UF_Assumptions_1!$B5</f>
        <v>124556.92987482675</v>
      </c>
      <c r="D22" s="88">
        <f>D5*UF_Assumptions_1!$B5</f>
        <v>131431.0340293771</v>
      </c>
      <c r="E22" s="88">
        <f>E5*UF_Assumptions_1!$B5</f>
        <v>139116.10603492125</v>
      </c>
      <c r="F22" s="88">
        <f>F5*UF_Assumptions_1!$B5</f>
        <v>146864.43291596879</v>
      </c>
      <c r="G22" s="88">
        <f>G5*UF_Assumptions_1!$B5</f>
        <v>155138.12273645093</v>
      </c>
      <c r="H22" s="88">
        <f>H5*UF_Assumptions_1!$B5</f>
        <v>163875.62518068371</v>
      </c>
      <c r="I22" s="88">
        <f>I5*UF_Assumptions_1!$B5</f>
        <v>173033.61858341735</v>
      </c>
      <c r="J22" s="88">
        <f>J5*UF_Assumptions_1!$B5</f>
        <v>182703.35446499128</v>
      </c>
      <c r="K22" s="88">
        <f>K5*UF_Assumptions_1!$B5</f>
        <v>192913.42384401843</v>
      </c>
    </row>
    <row r="23" spans="1:11">
      <c r="A23" t="s">
        <v>6</v>
      </c>
      <c r="B23" s="88">
        <f>B6*UF_Assumptions_1!$B6</f>
        <v>13439.558122078713</v>
      </c>
      <c r="C23" s="88">
        <f>C6*UF_Assumptions_1!$B6</f>
        <v>14183.50448014312</v>
      </c>
      <c r="D23" s="88">
        <f>D6*UF_Assumptions_1!$B6</f>
        <v>14966.27013734916</v>
      </c>
      <c r="E23" s="88">
        <f>E6*UF_Assumptions_1!$B6</f>
        <v>15781.490247081609</v>
      </c>
      <c r="F23" s="88">
        <f>F6*UF_Assumptions_1!$B6</f>
        <v>16644.677400163378</v>
      </c>
      <c r="G23" s="88">
        <f>G6*UF_Assumptions_1!$B6</f>
        <v>17565.714627498208</v>
      </c>
      <c r="H23" s="88">
        <f>H6*UF_Assumptions_1!$B6</f>
        <v>18519.887542642082</v>
      </c>
      <c r="I23" s="88">
        <f>I6*UF_Assumptions_1!$B6</f>
        <v>19530.151055276874</v>
      </c>
      <c r="J23" s="88">
        <f>J6*UF_Assumptions_1!$B6</f>
        <v>20595.520015831</v>
      </c>
      <c r="K23" s="88">
        <f>K6*UF_Assumptions_1!$B6</f>
        <v>21718.999649898433</v>
      </c>
    </row>
    <row r="24" spans="1:11">
      <c r="A24" t="s">
        <v>7</v>
      </c>
      <c r="B24" s="88">
        <f>B7*UF_Assumptions_1!$B7</f>
        <v>21100.962858310875</v>
      </c>
      <c r="C24" s="88">
        <f>C7*UF_Assumptions_1!$B7</f>
        <v>22036.81736915317</v>
      </c>
      <c r="D24" s="88">
        <f>D7*UF_Assumptions_1!$B7</f>
        <v>23010.546917063853</v>
      </c>
      <c r="E24" s="88">
        <f>E7*UF_Assumptions_1!$B7</f>
        <v>24033.734561735277</v>
      </c>
      <c r="F24" s="88">
        <f>F7*UF_Assumptions_1!$B7</f>
        <v>25107.791824125557</v>
      </c>
      <c r="G24" s="88">
        <f>G7*UF_Assumptions_1!$B7</f>
        <v>26195.748281692882</v>
      </c>
      <c r="H24" s="88">
        <f>H7*UF_Assumptions_1!$B7</f>
        <v>27330.465477283084</v>
      </c>
      <c r="I24" s="88">
        <f>I7*UF_Assumptions_1!$B7</f>
        <v>28520.650794095211</v>
      </c>
      <c r="J24" s="88">
        <f>J7*UF_Assumptions_1!$B7</f>
        <v>29762.659538425327</v>
      </c>
      <c r="K24" s="88">
        <f>K7*UF_Assumptions_1!$B7</f>
        <v>31058.747526911873</v>
      </c>
    </row>
    <row r="25" spans="1:11">
      <c r="A25" t="s">
        <v>8</v>
      </c>
      <c r="B25" s="88">
        <f>B8*UF_Assumptions_1!$B8</f>
        <v>28689.635954420595</v>
      </c>
      <c r="C25" s="88">
        <f>C8*UF_Assumptions_1!$B8</f>
        <v>30335.148515759727</v>
      </c>
      <c r="D25" s="88">
        <f>D8*UF_Assumptions_1!$B8</f>
        <v>31948.617271280385</v>
      </c>
      <c r="E25" s="88">
        <f>E8*UF_Assumptions_1!$B8</f>
        <v>33784.762834506182</v>
      </c>
      <c r="F25" s="88">
        <f>F8*UF_Assumptions_1!$B8</f>
        <v>35734.081370261993</v>
      </c>
      <c r="G25" s="88">
        <f>G8*UF_Assumptions_1!$B8</f>
        <v>37782.926230403427</v>
      </c>
      <c r="H25" s="88">
        <f>H8*UF_Assumptions_1!$B8</f>
        <v>39910.890682114885</v>
      </c>
      <c r="I25" s="88">
        <f>I8*UF_Assumptions_1!$B8</f>
        <v>42181.182194971159</v>
      </c>
      <c r="J25" s="88">
        <f>J8*UF_Assumptions_1!$B8</f>
        <v>44580.606980834782</v>
      </c>
      <c r="K25" s="88">
        <f>K8*UF_Assumptions_1!$B8</f>
        <v>47116.508905555907</v>
      </c>
    </row>
    <row r="26" spans="1:11">
      <c r="A26" t="s">
        <v>9</v>
      </c>
      <c r="B26" s="88">
        <f>B9*UF_Assumptions_1!$B9</f>
        <v>18890.513495020728</v>
      </c>
      <c r="C26" s="88">
        <f>C9*UF_Assumptions_1!$B9</f>
        <v>20257.444114574424</v>
      </c>
      <c r="D26" s="88">
        <f>D9*UF_Assumptions_1!$B9</f>
        <v>21679.33703796404</v>
      </c>
      <c r="E26" s="88">
        <f>E9*UF_Assumptions_1!$B9</f>
        <v>23228.934455282229</v>
      </c>
      <c r="F26" s="88">
        <f>F9*UF_Assumptions_1!$B9</f>
        <v>24871.376757942187</v>
      </c>
      <c r="G26" s="88">
        <f>G9*UF_Assumptions_1!$B9</f>
        <v>26670.588132498688</v>
      </c>
      <c r="H26" s="88">
        <f>H9*UF_Assumptions_1!$B9</f>
        <v>28599.55590900161</v>
      </c>
      <c r="I26" s="88">
        <f>I9*UF_Assumptions_1!$B9</f>
        <v>30645.959770397174</v>
      </c>
      <c r="J26" s="88">
        <f>J9*UF_Assumptions_1!$B9</f>
        <v>32838.784011304626</v>
      </c>
      <c r="K26" s="88">
        <f>K9*UF_Assumptions_1!$B9</f>
        <v>35188.504037067403</v>
      </c>
    </row>
    <row r="27" spans="1:11">
      <c r="A27" t="s">
        <v>10</v>
      </c>
      <c r="B27" s="88">
        <f>B10*UF_Assumptions_1!$B10</f>
        <v>19314.903208446871</v>
      </c>
      <c r="C27" s="88">
        <f>C10*UF_Assumptions_1!$B10</f>
        <v>20248.829312751863</v>
      </c>
      <c r="D27" s="88">
        <f>D10*UF_Assumptions_1!$B10</f>
        <v>21163.806395663054</v>
      </c>
      <c r="E27" s="88">
        <f>E10*UF_Assumptions_1!$B10</f>
        <v>22126.050076564541</v>
      </c>
      <c r="F27" s="88">
        <f>F10*UF_Assumptions_1!$B10</f>
        <v>23181.275733174672</v>
      </c>
      <c r="G27" s="88">
        <f>G10*UF_Assumptions_1!$B10</f>
        <v>24324.88535007407</v>
      </c>
      <c r="H27" s="88">
        <f>H10*UF_Assumptions_1!$B10</f>
        <v>25597.553137678322</v>
      </c>
      <c r="I27" s="88">
        <f>I10*UF_Assumptions_1!$B10</f>
        <v>26865.890611128772</v>
      </c>
      <c r="J27" s="88">
        <f>J10*UF_Assumptions_1!$B10</f>
        <v>28197.066818839965</v>
      </c>
      <c r="K27" s="88">
        <f>K10*UF_Assumptions_1!$B10</f>
        <v>29594.194354944852</v>
      </c>
    </row>
    <row r="28" spans="1:11">
      <c r="A28" t="s">
        <v>18</v>
      </c>
      <c r="B28" s="88">
        <f>B11*UF_Assumptions_1!$B11</f>
        <v>44019.592960460352</v>
      </c>
      <c r="C28" s="88">
        <f>C11*UF_Assumptions_1!$B11</f>
        <v>46588.399490469084</v>
      </c>
      <c r="D28" s="88">
        <f>D11*UF_Assumptions_1!$B11</f>
        <v>49345.928028678936</v>
      </c>
      <c r="E28" s="88">
        <f>E11*UF_Assumptions_1!$B11</f>
        <v>52231.296867792182</v>
      </c>
      <c r="F28" s="88">
        <f>F11*UF_Assumptions_1!$B11</f>
        <v>55401.743800516408</v>
      </c>
      <c r="G28" s="88">
        <f>G11*UF_Assumptions_1!$B11</f>
        <v>58744.509361278768</v>
      </c>
      <c r="H28" s="88">
        <f>H11*UF_Assumptions_1!$B11</f>
        <v>62229.333909265348</v>
      </c>
      <c r="I28" s="88">
        <f>I11*UF_Assumptions_1!$B11</f>
        <v>65955.914375606124</v>
      </c>
      <c r="J28" s="88">
        <f>J11*UF_Assumptions_1!$B11</f>
        <v>69905.644023707253</v>
      </c>
      <c r="K28" s="88">
        <f>K11*UF_Assumptions_1!$B11</f>
        <v>74091.883214033864</v>
      </c>
    </row>
    <row r="29" spans="1:11">
      <c r="A29" t="s">
        <v>16</v>
      </c>
      <c r="B29" s="88">
        <f>B12*UF_Assumptions_1!$B12</f>
        <v>9637.1769998811087</v>
      </c>
      <c r="C29" s="88">
        <f>C12*UF_Assumptions_1!$B12</f>
        <v>10083.87888270471</v>
      </c>
      <c r="D29" s="88">
        <f>D12*UF_Assumptions_1!$B12</f>
        <v>10559.707107985336</v>
      </c>
      <c r="E29" s="88">
        <f>E12*UF_Assumptions_1!$B12</f>
        <v>11060.948612131126</v>
      </c>
      <c r="F29" s="88">
        <f>F12*UF_Assumptions_1!$B12</f>
        <v>11588.462412451476</v>
      </c>
      <c r="G29" s="88">
        <f>G12*UF_Assumptions_1!$B12</f>
        <v>12148.56775369268</v>
      </c>
      <c r="H29" s="88">
        <f>H12*UF_Assumptions_1!$B12</f>
        <v>12735.566684289943</v>
      </c>
      <c r="I29" s="88">
        <f>I12*UF_Assumptions_1!$B12</f>
        <v>13345.373113401587</v>
      </c>
      <c r="J29" s="88">
        <f>J12*UF_Assumptions_1!$B12</f>
        <v>13984.375250099914</v>
      </c>
      <c r="K29" s="88">
        <f>K12*UF_Assumptions_1!$B12</f>
        <v>14653.970556324568</v>
      </c>
    </row>
    <row r="30" spans="1:11">
      <c r="A30" t="s">
        <v>11</v>
      </c>
      <c r="B30" s="88">
        <f>B13*UF_Assumptions_1!$B13</f>
        <v>5662.4045128174339</v>
      </c>
      <c r="C30" s="88">
        <f>C13*UF_Assumptions_1!$B13</f>
        <v>5998.5039926469553</v>
      </c>
      <c r="D30" s="88">
        <f>D13*UF_Assumptions_1!$B13</f>
        <v>6353.5504447079193</v>
      </c>
      <c r="E30" s="88">
        <f>E13*UF_Assumptions_1!$B13</f>
        <v>6731.4134014116889</v>
      </c>
      <c r="F30" s="88">
        <f>F13*UF_Assumptions_1!$B13</f>
        <v>7133.2752648964624</v>
      </c>
      <c r="G30" s="88">
        <f>G13*UF_Assumptions_1!$B13</f>
        <v>7570.8100191406356</v>
      </c>
      <c r="H30" s="88">
        <f>H13*UF_Assumptions_1!$B13</f>
        <v>7997.2040600137425</v>
      </c>
      <c r="I30" s="88">
        <f>I13*UF_Assumptions_1!$B13</f>
        <v>8468.1147953519812</v>
      </c>
      <c r="J30" s="88">
        <f>J13*UF_Assumptions_1!$B13</f>
        <v>8966.7528230695734</v>
      </c>
      <c r="K30" s="88">
        <f>K13*UF_Assumptions_1!$B13</f>
        <v>9494.7504879452099</v>
      </c>
    </row>
    <row r="31" spans="1:11">
      <c r="A31" t="s">
        <v>13</v>
      </c>
      <c r="B31" s="88">
        <f>B14</f>
        <v>13015.934321462773</v>
      </c>
      <c r="C31" s="88">
        <f t="shared" ref="C31:K32" si="1">C14</f>
        <v>13476.024721270978</v>
      </c>
      <c r="D31" s="88">
        <f t="shared" si="1"/>
        <v>13923.220163679234</v>
      </c>
      <c r="E31" s="88">
        <f t="shared" si="1"/>
        <v>14458.753862211928</v>
      </c>
      <c r="F31" s="88">
        <f t="shared" si="1"/>
        <v>15047.036138730071</v>
      </c>
      <c r="G31" s="88">
        <f t="shared" si="1"/>
        <v>15608.734786912868</v>
      </c>
      <c r="H31" s="88">
        <f t="shared" si="1"/>
        <v>16159.948137089295</v>
      </c>
      <c r="I31" s="88">
        <f t="shared" si="1"/>
        <v>16766.700865673727</v>
      </c>
      <c r="J31" s="88">
        <f t="shared" si="1"/>
        <v>17396.231249972214</v>
      </c>
      <c r="K31" s="88">
        <f t="shared" si="1"/>
        <v>18049.393987394586</v>
      </c>
    </row>
    <row r="32" spans="1:11">
      <c r="A32" s="6" t="s">
        <v>71</v>
      </c>
      <c r="B32" s="88">
        <f>B15</f>
        <v>28791.565066927964</v>
      </c>
      <c r="C32" s="88">
        <f t="shared" si="1"/>
        <v>30298.917575967578</v>
      </c>
      <c r="D32" s="88">
        <f t="shared" si="1"/>
        <v>31880.154947029732</v>
      </c>
      <c r="E32" s="88">
        <f t="shared" si="1"/>
        <v>33584.788311616554</v>
      </c>
      <c r="F32" s="88">
        <f t="shared" si="1"/>
        <v>35388.140800757341</v>
      </c>
      <c r="G32" s="88">
        <f t="shared" si="1"/>
        <v>37275.55331184082</v>
      </c>
      <c r="H32" s="88">
        <f t="shared" si="1"/>
        <v>39225.794609276592</v>
      </c>
      <c r="I32" s="88">
        <f t="shared" si="1"/>
        <v>41300.179658613044</v>
      </c>
      <c r="J32" s="88">
        <f t="shared" si="1"/>
        <v>43484.255035020928</v>
      </c>
      <c r="K32" s="88">
        <f t="shared" si="1"/>
        <v>45783.819883571348</v>
      </c>
    </row>
    <row r="33" spans="1:16">
      <c r="A33" s="6" t="s">
        <v>166</v>
      </c>
      <c r="B33" s="88">
        <f>B16*(SUM(B21:B30)/SUM(B4:B13))</f>
        <v>40962.103702421904</v>
      </c>
      <c r="C33" s="88">
        <f t="shared" ref="C33:K33" si="2">C16*(SUM(C21:C30)/SUM(C4:C13))</f>
        <v>43329.106144788893</v>
      </c>
      <c r="D33" s="88">
        <f t="shared" si="2"/>
        <v>45747.367643113699</v>
      </c>
      <c r="E33" s="88">
        <f t="shared" si="2"/>
        <v>48332.315534552516</v>
      </c>
      <c r="F33" s="88">
        <f t="shared" si="2"/>
        <v>51105.446106823787</v>
      </c>
      <c r="G33" s="88">
        <f t="shared" si="2"/>
        <v>54061.270587448518</v>
      </c>
      <c r="H33" s="88">
        <f t="shared" si="2"/>
        <v>57100.229584015622</v>
      </c>
      <c r="I33" s="88">
        <f t="shared" si="2"/>
        <v>60352.008631925295</v>
      </c>
      <c r="J33" s="88">
        <f t="shared" si="2"/>
        <v>63790.183008862768</v>
      </c>
      <c r="K33" s="88">
        <f t="shared" si="2"/>
        <v>67425.512741004786</v>
      </c>
      <c r="N33" s="269">
        <f>K33/(SUM(K21:K30)+K33)</f>
        <v>8.4731803434529504E-2</v>
      </c>
    </row>
    <row r="34" spans="1:16">
      <c r="A34" s="212" t="s">
        <v>218</v>
      </c>
      <c r="B34" s="88">
        <f>B17</f>
        <v>0</v>
      </c>
      <c r="C34" s="88">
        <f t="shared" ref="C34:K35" si="3">C17</f>
        <v>0</v>
      </c>
      <c r="D34" s="88">
        <f t="shared" si="3"/>
        <v>0</v>
      </c>
      <c r="E34" s="88">
        <f t="shared" si="3"/>
        <v>0</v>
      </c>
      <c r="F34" s="88">
        <f t="shared" si="3"/>
        <v>0</v>
      </c>
      <c r="G34" s="88">
        <f t="shared" si="3"/>
        <v>0</v>
      </c>
      <c r="H34" s="88">
        <f t="shared" si="3"/>
        <v>0</v>
      </c>
      <c r="I34" s="88">
        <f t="shared" si="3"/>
        <v>0</v>
      </c>
      <c r="J34" s="88">
        <f t="shared" si="3"/>
        <v>0</v>
      </c>
      <c r="K34" s="88">
        <f t="shared" si="3"/>
        <v>0</v>
      </c>
    </row>
    <row r="35" spans="1:16">
      <c r="A35" s="211" t="s">
        <v>276</v>
      </c>
      <c r="B35" s="88">
        <f>B18</f>
        <v>0</v>
      </c>
      <c r="C35" s="88">
        <f t="shared" si="3"/>
        <v>0</v>
      </c>
      <c r="D35" s="88">
        <f t="shared" si="3"/>
        <v>0</v>
      </c>
      <c r="E35" s="88">
        <f t="shared" si="3"/>
        <v>0</v>
      </c>
      <c r="F35" s="88">
        <f t="shared" si="3"/>
        <v>0</v>
      </c>
      <c r="G35" s="88">
        <f t="shared" si="3"/>
        <v>0</v>
      </c>
      <c r="H35" s="88">
        <f t="shared" si="3"/>
        <v>0</v>
      </c>
      <c r="I35" s="88">
        <f t="shared" si="3"/>
        <v>0</v>
      </c>
      <c r="J35" s="88">
        <f t="shared" si="3"/>
        <v>0</v>
      </c>
      <c r="K35" s="88">
        <f t="shared" si="3"/>
        <v>0</v>
      </c>
    </row>
    <row r="36" spans="1:16">
      <c r="A36" s="6" t="s">
        <v>98</v>
      </c>
      <c r="B36" s="88">
        <f>SUM(B21:B35)</f>
        <v>522530.26559627242</v>
      </c>
      <c r="C36" s="88">
        <f t="shared" ref="C36:K36" si="4">SUM(C21:C35)</f>
        <v>551930.9988586884</v>
      </c>
      <c r="D36" s="88">
        <f t="shared" si="4"/>
        <v>582470.43871391972</v>
      </c>
      <c r="E36" s="88">
        <f t="shared" si="4"/>
        <v>615844.53619169968</v>
      </c>
      <c r="F36" s="88">
        <f t="shared" si="4"/>
        <v>651632.6076238855</v>
      </c>
      <c r="G36" s="88">
        <f t="shared" si="4"/>
        <v>688731.12736988463</v>
      </c>
      <c r="H36" s="88">
        <f t="shared" si="4"/>
        <v>727718.10317730077</v>
      </c>
      <c r="I36" s="88">
        <f t="shared" si="4"/>
        <v>769233.92234203953</v>
      </c>
      <c r="J36" s="88">
        <f t="shared" si="4"/>
        <v>813143.23827805277</v>
      </c>
      <c r="K36" s="88">
        <f t="shared" si="4"/>
        <v>859585.34008533449</v>
      </c>
      <c r="L36" s="56">
        <f>(B36-B19)/$B$19</f>
        <v>1.0684583915500064E-2</v>
      </c>
      <c r="M36" s="56">
        <f>(K36-K19)/$K$19</f>
        <v>1.0777822335428138E-2</v>
      </c>
      <c r="P36" s="269"/>
    </row>
    <row r="37" spans="1:16">
      <c r="A37" s="210" t="s">
        <v>339</v>
      </c>
    </row>
    <row r="38" spans="1:16">
      <c r="A38" t="s">
        <v>4</v>
      </c>
      <c r="B38" s="88">
        <f>B21</f>
        <v>160982.18472241759</v>
      </c>
      <c r="C38" s="88">
        <f t="shared" ref="C38:K38" si="5">C21</f>
        <v>170537.49438363127</v>
      </c>
      <c r="D38" s="88">
        <f t="shared" si="5"/>
        <v>180460.89859002735</v>
      </c>
      <c r="E38" s="88">
        <f t="shared" si="5"/>
        <v>191373.94139189259</v>
      </c>
      <c r="F38" s="88">
        <f t="shared" si="5"/>
        <v>203564.86709807342</v>
      </c>
      <c r="G38" s="88">
        <f t="shared" si="5"/>
        <v>215643.69619095221</v>
      </c>
      <c r="H38" s="88">
        <f t="shared" si="5"/>
        <v>228436.04826394658</v>
      </c>
      <c r="I38" s="88">
        <f t="shared" si="5"/>
        <v>242268.17789218127</v>
      </c>
      <c r="J38" s="88">
        <f t="shared" si="5"/>
        <v>256937.80505709309</v>
      </c>
      <c r="K38" s="88">
        <f t="shared" si="5"/>
        <v>272495.63089666312</v>
      </c>
    </row>
    <row r="39" spans="1:16">
      <c r="A39" t="s">
        <v>5</v>
      </c>
      <c r="B39" s="88">
        <f t="shared" ref="B39:K52" si="6">B22</f>
        <v>118023.72967160547</v>
      </c>
      <c r="C39" s="88">
        <f t="shared" si="6"/>
        <v>124556.92987482675</v>
      </c>
      <c r="D39" s="88">
        <f t="shared" si="6"/>
        <v>131431.0340293771</v>
      </c>
      <c r="E39" s="88">
        <f t="shared" si="6"/>
        <v>139116.10603492125</v>
      </c>
      <c r="F39" s="88">
        <f t="shared" si="6"/>
        <v>146864.43291596879</v>
      </c>
      <c r="G39" s="88">
        <f t="shared" si="6"/>
        <v>155138.12273645093</v>
      </c>
      <c r="H39" s="88">
        <f t="shared" si="6"/>
        <v>163875.62518068371</v>
      </c>
      <c r="I39" s="88">
        <f t="shared" si="6"/>
        <v>173033.61858341735</v>
      </c>
      <c r="J39" s="88">
        <f t="shared" si="6"/>
        <v>182703.35446499128</v>
      </c>
      <c r="K39" s="88">
        <f t="shared" si="6"/>
        <v>192913.42384401843</v>
      </c>
    </row>
    <row r="40" spans="1:16">
      <c r="A40" t="s">
        <v>6</v>
      </c>
      <c r="B40" s="88">
        <f t="shared" si="6"/>
        <v>13439.558122078713</v>
      </c>
      <c r="C40" s="88">
        <f t="shared" si="6"/>
        <v>14183.50448014312</v>
      </c>
      <c r="D40" s="88">
        <f t="shared" si="6"/>
        <v>14966.27013734916</v>
      </c>
      <c r="E40" s="88">
        <f t="shared" si="6"/>
        <v>15781.490247081609</v>
      </c>
      <c r="F40" s="88">
        <f t="shared" si="6"/>
        <v>16644.677400163378</v>
      </c>
      <c r="G40" s="88">
        <f t="shared" si="6"/>
        <v>17565.714627498208</v>
      </c>
      <c r="H40" s="88">
        <f t="shared" si="6"/>
        <v>18519.887542642082</v>
      </c>
      <c r="I40" s="88">
        <f t="shared" si="6"/>
        <v>19530.151055276874</v>
      </c>
      <c r="J40" s="88">
        <f t="shared" si="6"/>
        <v>20595.520015831</v>
      </c>
      <c r="K40" s="88">
        <f t="shared" si="6"/>
        <v>21718.999649898433</v>
      </c>
    </row>
    <row r="41" spans="1:16">
      <c r="A41" t="s">
        <v>7</v>
      </c>
      <c r="B41" s="88">
        <f>B24*UF_Assumptions_1!$C$7</f>
        <v>22578.030258392639</v>
      </c>
      <c r="C41" s="88">
        <f>C24*UF_Assumptions_1!$C$7</f>
        <v>23579.394584993894</v>
      </c>
      <c r="D41" s="88">
        <f>D24*UF_Assumptions_1!$C$7</f>
        <v>24621.285201258324</v>
      </c>
      <c r="E41" s="88">
        <f>E24*UF_Assumptions_1!$C$7</f>
        <v>25716.095981056747</v>
      </c>
      <c r="F41" s="88">
        <f>F24*UF_Assumptions_1!$C$7</f>
        <v>26865.337251814348</v>
      </c>
      <c r="G41" s="88">
        <f>G24*UF_Assumptions_1!$C$7</f>
        <v>28029.450661411385</v>
      </c>
      <c r="H41" s="88">
        <f>H24*UF_Assumptions_1!$C$7</f>
        <v>29243.598060692901</v>
      </c>
      <c r="I41" s="88">
        <f>I24*UF_Assumptions_1!$C$7</f>
        <v>30517.096349681877</v>
      </c>
      <c r="J41" s="88">
        <f>J24*UF_Assumptions_1!$C$7</f>
        <v>31846.045706115103</v>
      </c>
      <c r="K41" s="88">
        <f>K24*UF_Assumptions_1!$C$7</f>
        <v>33232.859853795708</v>
      </c>
    </row>
    <row r="42" spans="1:16">
      <c r="A42" t="s">
        <v>8</v>
      </c>
      <c r="B42" s="88">
        <f t="shared" si="6"/>
        <v>28689.635954420595</v>
      </c>
      <c r="C42" s="88">
        <f t="shared" si="6"/>
        <v>30335.148515759727</v>
      </c>
      <c r="D42" s="88">
        <f t="shared" si="6"/>
        <v>31948.617271280385</v>
      </c>
      <c r="E42" s="88">
        <f t="shared" si="6"/>
        <v>33784.762834506182</v>
      </c>
      <c r="F42" s="88">
        <f t="shared" si="6"/>
        <v>35734.081370261993</v>
      </c>
      <c r="G42" s="88">
        <f t="shared" si="6"/>
        <v>37782.926230403427</v>
      </c>
      <c r="H42" s="88">
        <f t="shared" si="6"/>
        <v>39910.890682114885</v>
      </c>
      <c r="I42" s="88">
        <f t="shared" si="6"/>
        <v>42181.182194971159</v>
      </c>
      <c r="J42" s="88">
        <f t="shared" si="6"/>
        <v>44580.606980834782</v>
      </c>
      <c r="K42" s="88">
        <f t="shared" si="6"/>
        <v>47116.508905555907</v>
      </c>
    </row>
    <row r="43" spans="1:16">
      <c r="A43" t="s">
        <v>9</v>
      </c>
      <c r="B43" s="88">
        <f t="shared" si="6"/>
        <v>18890.513495020728</v>
      </c>
      <c r="C43" s="88">
        <f t="shared" si="6"/>
        <v>20257.444114574424</v>
      </c>
      <c r="D43" s="88">
        <f t="shared" si="6"/>
        <v>21679.33703796404</v>
      </c>
      <c r="E43" s="88">
        <f t="shared" si="6"/>
        <v>23228.934455282229</v>
      </c>
      <c r="F43" s="88">
        <f t="shared" si="6"/>
        <v>24871.376757942187</v>
      </c>
      <c r="G43" s="88">
        <f t="shared" si="6"/>
        <v>26670.588132498688</v>
      </c>
      <c r="H43" s="88">
        <f t="shared" si="6"/>
        <v>28599.55590900161</v>
      </c>
      <c r="I43" s="88">
        <f t="shared" si="6"/>
        <v>30645.959770397174</v>
      </c>
      <c r="J43" s="88">
        <f t="shared" si="6"/>
        <v>32838.784011304626</v>
      </c>
      <c r="K43" s="88">
        <f t="shared" si="6"/>
        <v>35188.504037067403</v>
      </c>
    </row>
    <row r="44" spans="1:16">
      <c r="A44" t="s">
        <v>10</v>
      </c>
      <c r="B44" s="88">
        <f t="shared" si="6"/>
        <v>19314.903208446871</v>
      </c>
      <c r="C44" s="88">
        <f t="shared" si="6"/>
        <v>20248.829312751863</v>
      </c>
      <c r="D44" s="88">
        <f t="shared" si="6"/>
        <v>21163.806395663054</v>
      </c>
      <c r="E44" s="88">
        <f t="shared" si="6"/>
        <v>22126.050076564541</v>
      </c>
      <c r="F44" s="88">
        <f t="shared" si="6"/>
        <v>23181.275733174672</v>
      </c>
      <c r="G44" s="88">
        <f t="shared" si="6"/>
        <v>24324.88535007407</v>
      </c>
      <c r="H44" s="88">
        <f t="shared" si="6"/>
        <v>25597.553137678322</v>
      </c>
      <c r="I44" s="88">
        <f t="shared" si="6"/>
        <v>26865.890611128772</v>
      </c>
      <c r="J44" s="88">
        <f t="shared" si="6"/>
        <v>28197.066818839965</v>
      </c>
      <c r="K44" s="88">
        <f t="shared" si="6"/>
        <v>29594.194354944852</v>
      </c>
    </row>
    <row r="45" spans="1:16">
      <c r="A45" t="s">
        <v>18</v>
      </c>
      <c r="B45" s="88">
        <f t="shared" si="6"/>
        <v>44019.592960460352</v>
      </c>
      <c r="C45" s="88">
        <f t="shared" si="6"/>
        <v>46588.399490469084</v>
      </c>
      <c r="D45" s="88">
        <f t="shared" si="6"/>
        <v>49345.928028678936</v>
      </c>
      <c r="E45" s="88">
        <f t="shared" si="6"/>
        <v>52231.296867792182</v>
      </c>
      <c r="F45" s="88">
        <f t="shared" si="6"/>
        <v>55401.743800516408</v>
      </c>
      <c r="G45" s="88">
        <f t="shared" si="6"/>
        <v>58744.509361278768</v>
      </c>
      <c r="H45" s="88">
        <f t="shared" si="6"/>
        <v>62229.333909265348</v>
      </c>
      <c r="I45" s="88">
        <f t="shared" si="6"/>
        <v>65955.914375606124</v>
      </c>
      <c r="J45" s="88">
        <f t="shared" si="6"/>
        <v>69905.644023707253</v>
      </c>
      <c r="K45" s="88">
        <f t="shared" si="6"/>
        <v>74091.883214033864</v>
      </c>
    </row>
    <row r="46" spans="1:16">
      <c r="A46" t="s">
        <v>16</v>
      </c>
      <c r="B46" s="88">
        <f t="shared" si="6"/>
        <v>9637.1769998811087</v>
      </c>
      <c r="C46" s="88">
        <f t="shared" si="6"/>
        <v>10083.87888270471</v>
      </c>
      <c r="D46" s="88">
        <f t="shared" si="6"/>
        <v>10559.707107985336</v>
      </c>
      <c r="E46" s="88">
        <f t="shared" si="6"/>
        <v>11060.948612131126</v>
      </c>
      <c r="F46" s="88">
        <f t="shared" si="6"/>
        <v>11588.462412451476</v>
      </c>
      <c r="G46" s="88">
        <f t="shared" si="6"/>
        <v>12148.56775369268</v>
      </c>
      <c r="H46" s="88">
        <f t="shared" si="6"/>
        <v>12735.566684289943</v>
      </c>
      <c r="I46" s="88">
        <f t="shared" si="6"/>
        <v>13345.373113401587</v>
      </c>
      <c r="J46" s="88">
        <f t="shared" si="6"/>
        <v>13984.375250099914</v>
      </c>
      <c r="K46" s="88">
        <f t="shared" si="6"/>
        <v>14653.970556324568</v>
      </c>
    </row>
    <row r="47" spans="1:16">
      <c r="A47" t="s">
        <v>11</v>
      </c>
      <c r="B47" s="88">
        <f t="shared" si="6"/>
        <v>5662.4045128174339</v>
      </c>
      <c r="C47" s="88">
        <f t="shared" si="6"/>
        <v>5998.5039926469553</v>
      </c>
      <c r="D47" s="88">
        <f t="shared" si="6"/>
        <v>6353.5504447079193</v>
      </c>
      <c r="E47" s="88">
        <f t="shared" si="6"/>
        <v>6731.4134014116889</v>
      </c>
      <c r="F47" s="88">
        <f t="shared" si="6"/>
        <v>7133.2752648964624</v>
      </c>
      <c r="G47" s="88">
        <f t="shared" si="6"/>
        <v>7570.8100191406356</v>
      </c>
      <c r="H47" s="88">
        <f t="shared" si="6"/>
        <v>7997.2040600137425</v>
      </c>
      <c r="I47" s="88">
        <f t="shared" si="6"/>
        <v>8468.1147953519812</v>
      </c>
      <c r="J47" s="88">
        <f t="shared" si="6"/>
        <v>8966.7528230695734</v>
      </c>
      <c r="K47" s="88">
        <f t="shared" si="6"/>
        <v>9494.7504879452099</v>
      </c>
    </row>
    <row r="48" spans="1:16">
      <c r="A48" t="s">
        <v>13</v>
      </c>
      <c r="B48" s="88">
        <f t="shared" si="6"/>
        <v>13015.934321462773</v>
      </c>
      <c r="C48" s="88">
        <f t="shared" si="6"/>
        <v>13476.024721270978</v>
      </c>
      <c r="D48" s="88">
        <f t="shared" si="6"/>
        <v>13923.220163679234</v>
      </c>
      <c r="E48" s="88">
        <f t="shared" si="6"/>
        <v>14458.753862211928</v>
      </c>
      <c r="F48" s="88">
        <f t="shared" si="6"/>
        <v>15047.036138730071</v>
      </c>
      <c r="G48" s="88">
        <f t="shared" si="6"/>
        <v>15608.734786912868</v>
      </c>
      <c r="H48" s="88">
        <f t="shared" si="6"/>
        <v>16159.948137089295</v>
      </c>
      <c r="I48" s="88">
        <f t="shared" si="6"/>
        <v>16766.700865673727</v>
      </c>
      <c r="J48" s="88">
        <f t="shared" si="6"/>
        <v>17396.231249972214</v>
      </c>
      <c r="K48" s="88">
        <f t="shared" si="6"/>
        <v>18049.393987394586</v>
      </c>
    </row>
    <row r="49" spans="1:16">
      <c r="A49" s="6" t="s">
        <v>71</v>
      </c>
      <c r="B49" s="88">
        <f t="shared" si="6"/>
        <v>28791.565066927964</v>
      </c>
      <c r="C49" s="88">
        <f t="shared" si="6"/>
        <v>30298.917575967578</v>
      </c>
      <c r="D49" s="88">
        <f t="shared" si="6"/>
        <v>31880.154947029732</v>
      </c>
      <c r="E49" s="88">
        <f t="shared" si="6"/>
        <v>33584.788311616554</v>
      </c>
      <c r="F49" s="88">
        <f t="shared" si="6"/>
        <v>35388.140800757341</v>
      </c>
      <c r="G49" s="88">
        <f t="shared" si="6"/>
        <v>37275.55331184082</v>
      </c>
      <c r="H49" s="88">
        <f t="shared" si="6"/>
        <v>39225.794609276592</v>
      </c>
      <c r="I49" s="88">
        <f t="shared" si="6"/>
        <v>41300.179658613044</v>
      </c>
      <c r="J49" s="88">
        <f t="shared" si="6"/>
        <v>43484.255035020928</v>
      </c>
      <c r="K49" s="88">
        <f t="shared" si="6"/>
        <v>45783.819883571348</v>
      </c>
    </row>
    <row r="50" spans="1:16">
      <c r="A50" s="6" t="s">
        <v>166</v>
      </c>
      <c r="B50" s="88">
        <f>B33*(SUM(B38:B47)/SUM(B21:B30))</f>
        <v>41099.687149911049</v>
      </c>
      <c r="C50" s="88">
        <f t="shared" ref="C50:K50" si="7">C33*(SUM(C38:C47)/SUM(C21:C30))</f>
        <v>43472.898349310992</v>
      </c>
      <c r="D50" s="88">
        <f t="shared" si="7"/>
        <v>45897.467622948025</v>
      </c>
      <c r="E50" s="88">
        <f t="shared" si="7"/>
        <v>48488.845516685818</v>
      </c>
      <c r="F50" s="88">
        <f t="shared" si="7"/>
        <v>51268.728149924304</v>
      </c>
      <c r="G50" s="88">
        <f t="shared" si="7"/>
        <v>54231.663745792241</v>
      </c>
      <c r="H50" s="88">
        <f t="shared" si="7"/>
        <v>57277.789084341108</v>
      </c>
      <c r="I50" s="88">
        <f t="shared" si="7"/>
        <v>60537.144950633432</v>
      </c>
      <c r="J50" s="88">
        <f t="shared" si="7"/>
        <v>63983.218419280274</v>
      </c>
      <c r="K50" s="88">
        <f t="shared" si="7"/>
        <v>67626.783209068002</v>
      </c>
      <c r="N50" s="269">
        <f>K50/(SUM(K38:K47)+K50)</f>
        <v>8.4731803434529504E-2</v>
      </c>
    </row>
    <row r="51" spans="1:16">
      <c r="A51" s="212" t="s">
        <v>218</v>
      </c>
      <c r="B51" s="88">
        <f t="shared" si="6"/>
        <v>0</v>
      </c>
      <c r="C51" s="88">
        <f t="shared" si="6"/>
        <v>0</v>
      </c>
      <c r="D51" s="88">
        <f t="shared" si="6"/>
        <v>0</v>
      </c>
      <c r="E51" s="88">
        <f t="shared" si="6"/>
        <v>0</v>
      </c>
      <c r="F51" s="88">
        <f t="shared" si="6"/>
        <v>0</v>
      </c>
      <c r="G51" s="88">
        <f t="shared" si="6"/>
        <v>0</v>
      </c>
      <c r="H51" s="88">
        <f t="shared" si="6"/>
        <v>0</v>
      </c>
      <c r="I51" s="88">
        <f t="shared" si="6"/>
        <v>0</v>
      </c>
      <c r="J51" s="88">
        <f t="shared" si="6"/>
        <v>0</v>
      </c>
      <c r="K51" s="88">
        <f t="shared" si="6"/>
        <v>0</v>
      </c>
    </row>
    <row r="52" spans="1:16">
      <c r="A52" s="211" t="s">
        <v>276</v>
      </c>
      <c r="B52" s="88">
        <f t="shared" si="6"/>
        <v>0</v>
      </c>
      <c r="C52" s="88">
        <f t="shared" si="6"/>
        <v>0</v>
      </c>
      <c r="D52" s="88">
        <f t="shared" si="6"/>
        <v>0</v>
      </c>
      <c r="E52" s="88">
        <f t="shared" si="6"/>
        <v>0</v>
      </c>
      <c r="F52" s="88">
        <f t="shared" si="6"/>
        <v>0</v>
      </c>
      <c r="G52" s="88">
        <f t="shared" si="6"/>
        <v>0</v>
      </c>
      <c r="H52" s="88">
        <f t="shared" si="6"/>
        <v>0</v>
      </c>
      <c r="I52" s="88">
        <f t="shared" si="6"/>
        <v>0</v>
      </c>
      <c r="J52" s="88">
        <f t="shared" si="6"/>
        <v>0</v>
      </c>
      <c r="K52" s="88">
        <f t="shared" si="6"/>
        <v>0</v>
      </c>
    </row>
    <row r="53" spans="1:16">
      <c r="A53" s="6" t="s">
        <v>98</v>
      </c>
      <c r="B53" s="88">
        <f>SUM(B38:B52)</f>
        <v>524144.91644384334</v>
      </c>
      <c r="C53" s="88">
        <f t="shared" ref="C53:K53" si="8">SUM(C38:C52)</f>
        <v>553617.36827905127</v>
      </c>
      <c r="D53" s="88">
        <f t="shared" si="8"/>
        <v>584231.2769779485</v>
      </c>
      <c r="E53" s="88">
        <f t="shared" si="8"/>
        <v>617683.42759315448</v>
      </c>
      <c r="F53" s="88">
        <f t="shared" si="8"/>
        <v>653553.43509467493</v>
      </c>
      <c r="G53" s="88">
        <f t="shared" si="8"/>
        <v>690735.22290794691</v>
      </c>
      <c r="H53" s="88">
        <f t="shared" si="8"/>
        <v>729808.79526103614</v>
      </c>
      <c r="I53" s="88">
        <f t="shared" si="8"/>
        <v>771415.50421633432</v>
      </c>
      <c r="J53" s="88">
        <f t="shared" si="8"/>
        <v>815419.65985615994</v>
      </c>
      <c r="K53" s="88">
        <f t="shared" si="8"/>
        <v>861960.72288028151</v>
      </c>
      <c r="L53" s="56">
        <f>(B53-B36)/$B$19</f>
        <v>3.1230778913520192E-3</v>
      </c>
      <c r="M53" s="56">
        <f>(K53-K36)/$K$19</f>
        <v>2.7931889211270525E-3</v>
      </c>
      <c r="P53" s="269"/>
    </row>
    <row r="54" spans="1:16">
      <c r="A54" s="210" t="s">
        <v>319</v>
      </c>
    </row>
    <row r="55" spans="1:16">
      <c r="A55" t="s">
        <v>4</v>
      </c>
      <c r="B55" s="88">
        <f>B38*UF_Assumptions_1!$E4</f>
        <v>162994.46203144779</v>
      </c>
      <c r="C55" s="88">
        <f>C38*UF_Assumptions_1!$E4</f>
        <v>172669.21306342667</v>
      </c>
      <c r="D55" s="88">
        <f>D38*UF_Assumptions_1!$E4</f>
        <v>182716.6598224027</v>
      </c>
      <c r="E55" s="88">
        <f>E38*UF_Assumptions_1!$E4</f>
        <v>193766.11565929124</v>
      </c>
      <c r="F55" s="88">
        <f>F38*UF_Assumptions_1!$E4</f>
        <v>206109.42793679933</v>
      </c>
      <c r="G55" s="88">
        <f>G38*UF_Assumptions_1!$E4</f>
        <v>218339.24239333911</v>
      </c>
      <c r="H55" s="88">
        <f>H38*UF_Assumptions_1!$E4</f>
        <v>231291.49886724589</v>
      </c>
      <c r="I55" s="88">
        <f>I38*UF_Assumptions_1!$E4</f>
        <v>245296.53011583354</v>
      </c>
      <c r="J55" s="88">
        <f>J38*UF_Assumptions_1!$E4</f>
        <v>260149.52762030673</v>
      </c>
      <c r="K55" s="88">
        <f>K38*UF_Assumptions_1!$E4</f>
        <v>275901.82628287142</v>
      </c>
    </row>
    <row r="56" spans="1:16">
      <c r="A56" t="s">
        <v>5</v>
      </c>
      <c r="B56" s="88">
        <f>B39*UF_Assumptions_1!$E5</f>
        <v>120974.32291339559</v>
      </c>
      <c r="C56" s="88">
        <f>C39*UF_Assumptions_1!$E5</f>
        <v>127670.85312169741</v>
      </c>
      <c r="D56" s="88">
        <f>D39*UF_Assumptions_1!$E5</f>
        <v>134716.80988011151</v>
      </c>
      <c r="E56" s="88">
        <f>E39*UF_Assumptions_1!$E5</f>
        <v>142594.00868579428</v>
      </c>
      <c r="F56" s="88">
        <f>F39*UF_Assumptions_1!$E5</f>
        <v>150536.043738868</v>
      </c>
      <c r="G56" s="88">
        <f>G39*UF_Assumptions_1!$E5</f>
        <v>159016.57580486219</v>
      </c>
      <c r="H56" s="88">
        <f>H39*UF_Assumptions_1!$E5</f>
        <v>167972.5158102008</v>
      </c>
      <c r="I56" s="88">
        <f>I39*UF_Assumptions_1!$E5</f>
        <v>177359.45904800278</v>
      </c>
      <c r="J56" s="88">
        <f>J39*UF_Assumptions_1!$E5</f>
        <v>187270.93832661604</v>
      </c>
      <c r="K56" s="88">
        <f>K39*UF_Assumptions_1!$E5</f>
        <v>197736.25944011888</v>
      </c>
    </row>
    <row r="57" spans="1:16">
      <c r="A57" t="s">
        <v>6</v>
      </c>
      <c r="B57" s="88">
        <f>B40*UF_Assumptions_1!$E6</f>
        <v>13775.54707513068</v>
      </c>
      <c r="C57" s="88">
        <f>C40*UF_Assumptions_1!$E6</f>
        <v>14538.092092146697</v>
      </c>
      <c r="D57" s="88">
        <f>D40*UF_Assumptions_1!$E6</f>
        <v>15340.426890782888</v>
      </c>
      <c r="E57" s="88">
        <f>E40*UF_Assumptions_1!$E6</f>
        <v>16176.027503258647</v>
      </c>
      <c r="F57" s="88">
        <f>F40*UF_Assumptions_1!$E6</f>
        <v>17060.794335167462</v>
      </c>
      <c r="G57" s="88">
        <f>G40*UF_Assumptions_1!$E6</f>
        <v>18004.85749318566</v>
      </c>
      <c r="H57" s="88">
        <f>H40*UF_Assumptions_1!$E6</f>
        <v>18982.884731208131</v>
      </c>
      <c r="I57" s="88">
        <f>I40*UF_Assumptions_1!$E6</f>
        <v>20018.404831658794</v>
      </c>
      <c r="J57" s="88">
        <f>J40*UF_Assumptions_1!$E6</f>
        <v>21110.408016226775</v>
      </c>
      <c r="K57" s="88">
        <f>K40*UF_Assumptions_1!$E6</f>
        <v>22261.974641145891</v>
      </c>
    </row>
    <row r="58" spans="1:16">
      <c r="A58" t="s">
        <v>7</v>
      </c>
      <c r="B58" s="88">
        <f>B41*UF_Assumptions_1!$E7</f>
        <v>23142.481014852452</v>
      </c>
      <c r="C58" s="88">
        <f>C41*UF_Assumptions_1!$E7</f>
        <v>24168.87944961874</v>
      </c>
      <c r="D58" s="88">
        <f>D41*UF_Assumptions_1!$E7</f>
        <v>25236.817331289782</v>
      </c>
      <c r="E58" s="88">
        <f>E41*UF_Assumptions_1!$E7</f>
        <v>26358.998380583165</v>
      </c>
      <c r="F58" s="88">
        <f>F41*UF_Assumptions_1!$E7</f>
        <v>27536.970683109703</v>
      </c>
      <c r="G58" s="88">
        <f>G41*UF_Assumptions_1!$E7</f>
        <v>28730.186927946666</v>
      </c>
      <c r="H58" s="88">
        <f>H41*UF_Assumptions_1!$E7</f>
        <v>29974.688012210219</v>
      </c>
      <c r="I58" s="88">
        <f>I41*UF_Assumptions_1!$E7</f>
        <v>31280.023758423922</v>
      </c>
      <c r="J58" s="88">
        <f>J41*UF_Assumptions_1!$E7</f>
        <v>32642.196848767977</v>
      </c>
      <c r="K58" s="88">
        <f>K41*UF_Assumptions_1!$E7</f>
        <v>34063.6813501406</v>
      </c>
    </row>
    <row r="59" spans="1:16">
      <c r="A59" t="s">
        <v>8</v>
      </c>
      <c r="B59" s="88">
        <f>B42*UF_Assumptions_1!$E8</f>
        <v>28689.635954420595</v>
      </c>
      <c r="C59" s="88">
        <f>C42*UF_Assumptions_1!$E8</f>
        <v>30335.148515759727</v>
      </c>
      <c r="D59" s="88">
        <f>D42*UF_Assumptions_1!$E8</f>
        <v>31948.617271280385</v>
      </c>
      <c r="E59" s="88">
        <f>E42*UF_Assumptions_1!$E8</f>
        <v>33784.762834506182</v>
      </c>
      <c r="F59" s="88">
        <f>F42*UF_Assumptions_1!$E8</f>
        <v>35734.081370261993</v>
      </c>
      <c r="G59" s="88">
        <f>G42*UF_Assumptions_1!$E8</f>
        <v>37782.926230403427</v>
      </c>
      <c r="H59" s="88">
        <f>H42*UF_Assumptions_1!$E8</f>
        <v>39910.890682114885</v>
      </c>
      <c r="I59" s="88">
        <f>I42*UF_Assumptions_1!$E8</f>
        <v>42181.182194971159</v>
      </c>
      <c r="J59" s="88">
        <f>J42*UF_Assumptions_1!$E8</f>
        <v>44580.606980834782</v>
      </c>
      <c r="K59" s="88">
        <f>K42*UF_Assumptions_1!$E8</f>
        <v>47116.508905555907</v>
      </c>
    </row>
    <row r="60" spans="1:16">
      <c r="A60" t="s">
        <v>9</v>
      </c>
      <c r="B60" s="88">
        <f>B43*UF_Assumptions_1!$E9</f>
        <v>19362.776332396246</v>
      </c>
      <c r="C60" s="88">
        <f>C43*UF_Assumptions_1!$E9</f>
        <v>20763.880217438782</v>
      </c>
      <c r="D60" s="88">
        <f>D43*UF_Assumptions_1!$E9</f>
        <v>22221.32046391314</v>
      </c>
      <c r="E60" s="88">
        <f>E43*UF_Assumptions_1!$E9</f>
        <v>23809.657816664283</v>
      </c>
      <c r="F60" s="88">
        <f>F43*UF_Assumptions_1!$E9</f>
        <v>25493.161176890739</v>
      </c>
      <c r="G60" s="88">
        <f>G43*UF_Assumptions_1!$E9</f>
        <v>27337.352835811151</v>
      </c>
      <c r="H60" s="88">
        <f>H43*UF_Assumptions_1!$E9</f>
        <v>29314.544806726648</v>
      </c>
      <c r="I60" s="88">
        <f>I43*UF_Assumptions_1!$E9</f>
        <v>31412.1087646571</v>
      </c>
      <c r="J60" s="88">
        <f>J43*UF_Assumptions_1!$E9</f>
        <v>33659.753611587235</v>
      </c>
      <c r="K60" s="88">
        <f>K43*UF_Assumptions_1!$E9</f>
        <v>36068.216637994083</v>
      </c>
    </row>
    <row r="61" spans="1:16">
      <c r="A61" t="s">
        <v>10</v>
      </c>
      <c r="B61" s="88">
        <f>B44*UF_Assumptions_1!$E10</f>
        <v>19314.903208446871</v>
      </c>
      <c r="C61" s="88">
        <f>C44*UF_Assumptions_1!$E10</f>
        <v>20248.829312751863</v>
      </c>
      <c r="D61" s="88">
        <f>D44*UF_Assumptions_1!$E10</f>
        <v>21163.806395663054</v>
      </c>
      <c r="E61" s="88">
        <f>E44*UF_Assumptions_1!$E10</f>
        <v>22126.050076564541</v>
      </c>
      <c r="F61" s="88">
        <f>F44*UF_Assumptions_1!$E10</f>
        <v>23181.275733174672</v>
      </c>
      <c r="G61" s="88">
        <f>G44*UF_Assumptions_1!$E10</f>
        <v>24324.88535007407</v>
      </c>
      <c r="H61" s="88">
        <f>H44*UF_Assumptions_1!$E10</f>
        <v>25597.553137678322</v>
      </c>
      <c r="I61" s="88">
        <f>I44*UF_Assumptions_1!$E10</f>
        <v>26865.890611128772</v>
      </c>
      <c r="J61" s="88">
        <f>J44*UF_Assumptions_1!$E10</f>
        <v>28197.066818839965</v>
      </c>
      <c r="K61" s="88">
        <f>K44*UF_Assumptions_1!$E10</f>
        <v>29594.194354944852</v>
      </c>
    </row>
    <row r="62" spans="1:16">
      <c r="A62" t="s">
        <v>18</v>
      </c>
      <c r="B62" s="88">
        <f>B45*UF_Assumptions_1!$E11</f>
        <v>45120.082784471859</v>
      </c>
      <c r="C62" s="88">
        <f>C45*UF_Assumptions_1!$E11</f>
        <v>47753.10947773081</v>
      </c>
      <c r="D62" s="88">
        <f>D45*UF_Assumptions_1!$E11</f>
        <v>50579.576229395905</v>
      </c>
      <c r="E62" s="88">
        <f>E45*UF_Assumptions_1!$E11</f>
        <v>53537.079289486981</v>
      </c>
      <c r="F62" s="88">
        <f>F45*UF_Assumptions_1!$E11</f>
        <v>56786.787395529311</v>
      </c>
      <c r="G62" s="88">
        <f>G45*UF_Assumptions_1!$E11</f>
        <v>60213.122095310733</v>
      </c>
      <c r="H62" s="88">
        <f>H45*UF_Assumptions_1!$E11</f>
        <v>63785.067256996976</v>
      </c>
      <c r="I62" s="88">
        <f>I45*UF_Assumptions_1!$E11</f>
        <v>67604.812234996265</v>
      </c>
      <c r="J62" s="88">
        <f>J45*UF_Assumptions_1!$E11</f>
        <v>71653.285124299931</v>
      </c>
      <c r="K62" s="88">
        <f>K45*UF_Assumptions_1!$E11</f>
        <v>75944.1802943847</v>
      </c>
    </row>
    <row r="63" spans="1:16">
      <c r="A63" t="s">
        <v>16</v>
      </c>
      <c r="B63" s="88">
        <f>B46*UF_Assumptions_1!$E12</f>
        <v>9637.1769998811087</v>
      </c>
      <c r="C63" s="88">
        <f>C46*UF_Assumptions_1!$E12</f>
        <v>10083.87888270471</v>
      </c>
      <c r="D63" s="88">
        <f>D46*UF_Assumptions_1!$E12</f>
        <v>10559.707107985336</v>
      </c>
      <c r="E63" s="88">
        <f>E46*UF_Assumptions_1!$E12</f>
        <v>11060.948612131126</v>
      </c>
      <c r="F63" s="88">
        <f>F46*UF_Assumptions_1!$E12</f>
        <v>11588.462412451476</v>
      </c>
      <c r="G63" s="88">
        <f>G46*UF_Assumptions_1!$E12</f>
        <v>12148.56775369268</v>
      </c>
      <c r="H63" s="88">
        <f>H46*UF_Assumptions_1!$E12</f>
        <v>12735.566684289943</v>
      </c>
      <c r="I63" s="88">
        <f>I46*UF_Assumptions_1!$E12</f>
        <v>13345.373113401587</v>
      </c>
      <c r="J63" s="88">
        <f>J46*UF_Assumptions_1!$E12</f>
        <v>13984.375250099914</v>
      </c>
      <c r="K63" s="88">
        <f>K46*UF_Assumptions_1!$E12</f>
        <v>14653.970556324568</v>
      </c>
    </row>
    <row r="64" spans="1:16">
      <c r="A64" t="s">
        <v>11</v>
      </c>
      <c r="B64" s="88">
        <f>B47*UF_Assumptions_1!$E13</f>
        <v>5803.9646256378692</v>
      </c>
      <c r="C64" s="88">
        <f>C47*UF_Assumptions_1!$E13</f>
        <v>6148.466592463129</v>
      </c>
      <c r="D64" s="88">
        <f>D47*UF_Assumptions_1!$E13</f>
        <v>6512.389205825617</v>
      </c>
      <c r="E64" s="88">
        <f>E47*UF_Assumptions_1!$E13</f>
        <v>6899.6987364469805</v>
      </c>
      <c r="F64" s="88">
        <f>F47*UF_Assumptions_1!$E13</f>
        <v>7311.6071465188734</v>
      </c>
      <c r="G64" s="88">
        <f>G47*UF_Assumptions_1!$E13</f>
        <v>7760.0802696191513</v>
      </c>
      <c r="H64" s="88">
        <f>H47*UF_Assumptions_1!$E13</f>
        <v>8197.1341615140846</v>
      </c>
      <c r="I64" s="88">
        <f>I47*UF_Assumptions_1!$E13</f>
        <v>8679.8176652357797</v>
      </c>
      <c r="J64" s="88">
        <f>J47*UF_Assumptions_1!$E13</f>
        <v>9190.9216436463121</v>
      </c>
      <c r="K64" s="88">
        <f>K47*UF_Assumptions_1!$E13</f>
        <v>9732.11925014384</v>
      </c>
    </row>
    <row r="65" spans="1:16">
      <c r="A65" t="s">
        <v>13</v>
      </c>
      <c r="B65" s="88">
        <f t="shared" ref="B65:K65" si="9">B48</f>
        <v>13015.934321462773</v>
      </c>
      <c r="C65" s="88">
        <f t="shared" si="9"/>
        <v>13476.024721270978</v>
      </c>
      <c r="D65" s="88">
        <f t="shared" si="9"/>
        <v>13923.220163679234</v>
      </c>
      <c r="E65" s="88">
        <f t="shared" si="9"/>
        <v>14458.753862211928</v>
      </c>
      <c r="F65" s="88">
        <f t="shared" si="9"/>
        <v>15047.036138730071</v>
      </c>
      <c r="G65" s="88">
        <f t="shared" si="9"/>
        <v>15608.734786912868</v>
      </c>
      <c r="H65" s="88">
        <f t="shared" si="9"/>
        <v>16159.948137089295</v>
      </c>
      <c r="I65" s="88">
        <f t="shared" si="9"/>
        <v>16766.700865673727</v>
      </c>
      <c r="J65" s="88">
        <f t="shared" si="9"/>
        <v>17396.231249972214</v>
      </c>
      <c r="K65" s="88">
        <f t="shared" si="9"/>
        <v>18049.393987394586</v>
      </c>
    </row>
    <row r="66" spans="1:16">
      <c r="A66" s="6" t="s">
        <v>71</v>
      </c>
      <c r="B66" s="88">
        <f t="shared" ref="B66:K66" si="10">B49</f>
        <v>28791.565066927964</v>
      </c>
      <c r="C66" s="88">
        <f t="shared" si="10"/>
        <v>30298.917575967578</v>
      </c>
      <c r="D66" s="88">
        <f t="shared" si="10"/>
        <v>31880.154947029732</v>
      </c>
      <c r="E66" s="88">
        <f t="shared" si="10"/>
        <v>33584.788311616554</v>
      </c>
      <c r="F66" s="88">
        <f t="shared" si="10"/>
        <v>35388.140800757341</v>
      </c>
      <c r="G66" s="88">
        <f t="shared" si="10"/>
        <v>37275.55331184082</v>
      </c>
      <c r="H66" s="88">
        <f t="shared" si="10"/>
        <v>39225.794609276592</v>
      </c>
      <c r="I66" s="88">
        <f t="shared" si="10"/>
        <v>41300.179658613044</v>
      </c>
      <c r="J66" s="88">
        <f t="shared" si="10"/>
        <v>43484.255035020928</v>
      </c>
      <c r="K66" s="88">
        <f t="shared" si="10"/>
        <v>45783.819883571348</v>
      </c>
    </row>
    <row r="67" spans="1:16">
      <c r="A67" s="6" t="s">
        <v>166</v>
      </c>
      <c r="B67" s="88">
        <f>B50*(SUM(B55:B64)/SUM(B38:B47))</f>
        <v>41805.515130954758</v>
      </c>
      <c r="C67" s="88">
        <f t="shared" ref="C67:K67" si="11">C50*(SUM(C55:C64)/SUM(C38:C47))</f>
        <v>44219.631738592419</v>
      </c>
      <c r="D67" s="88">
        <f t="shared" si="11"/>
        <v>46686.361054327681</v>
      </c>
      <c r="E67" s="88">
        <f t="shared" si="11"/>
        <v>49322.715009176536</v>
      </c>
      <c r="F67" s="88">
        <f t="shared" si="11"/>
        <v>52150.296648359152</v>
      </c>
      <c r="G67" s="88">
        <f t="shared" si="11"/>
        <v>55164.473881533755</v>
      </c>
      <c r="H67" s="88">
        <f t="shared" si="11"/>
        <v>58263.169587438868</v>
      </c>
      <c r="I67" s="88">
        <f t="shared" si="11"/>
        <v>61578.733091209062</v>
      </c>
      <c r="J67" s="88">
        <f t="shared" si="11"/>
        <v>65084.245182459199</v>
      </c>
      <c r="K67" s="88">
        <f t="shared" si="11"/>
        <v>68790.666849063477</v>
      </c>
      <c r="N67" s="269">
        <f>K67/(SUM(K55:K64)+K67)</f>
        <v>8.4731803434529504E-2</v>
      </c>
    </row>
    <row r="68" spans="1:16">
      <c r="A68" s="212" t="s">
        <v>218</v>
      </c>
      <c r="B68" s="88">
        <f t="shared" ref="B68:K68" si="12">B51</f>
        <v>0</v>
      </c>
      <c r="C68" s="88">
        <f t="shared" si="12"/>
        <v>0</v>
      </c>
      <c r="D68" s="88">
        <f t="shared" si="12"/>
        <v>0</v>
      </c>
      <c r="E68" s="88">
        <f t="shared" si="12"/>
        <v>0</v>
      </c>
      <c r="F68" s="88">
        <f t="shared" si="12"/>
        <v>0</v>
      </c>
      <c r="G68" s="88">
        <f t="shared" si="12"/>
        <v>0</v>
      </c>
      <c r="H68" s="88">
        <f t="shared" si="12"/>
        <v>0</v>
      </c>
      <c r="I68" s="88">
        <f t="shared" si="12"/>
        <v>0</v>
      </c>
      <c r="J68" s="88">
        <f t="shared" si="12"/>
        <v>0</v>
      </c>
      <c r="K68" s="88">
        <f t="shared" si="12"/>
        <v>0</v>
      </c>
    </row>
    <row r="69" spans="1:16">
      <c r="A69" s="211" t="s">
        <v>276</v>
      </c>
      <c r="B69" s="88">
        <f t="shared" ref="B69:K69" si="13">B52</f>
        <v>0</v>
      </c>
      <c r="C69" s="88">
        <f t="shared" si="13"/>
        <v>0</v>
      </c>
      <c r="D69" s="88">
        <f t="shared" si="13"/>
        <v>0</v>
      </c>
      <c r="E69" s="88">
        <f t="shared" si="13"/>
        <v>0</v>
      </c>
      <c r="F69" s="88">
        <f t="shared" si="13"/>
        <v>0</v>
      </c>
      <c r="G69" s="88">
        <f t="shared" si="13"/>
        <v>0</v>
      </c>
      <c r="H69" s="88">
        <f t="shared" si="13"/>
        <v>0</v>
      </c>
      <c r="I69" s="88">
        <f t="shared" si="13"/>
        <v>0</v>
      </c>
      <c r="J69" s="88">
        <f t="shared" si="13"/>
        <v>0</v>
      </c>
      <c r="K69" s="88">
        <f t="shared" si="13"/>
        <v>0</v>
      </c>
    </row>
    <row r="70" spans="1:16">
      <c r="A70" s="6" t="s">
        <v>98</v>
      </c>
      <c r="B70" s="88">
        <f>SUM(B55:B69)</f>
        <v>532428.36745942663</v>
      </c>
      <c r="C70" s="88">
        <f t="shared" ref="C70:J70" si="14">SUM(C55:C69)</f>
        <v>562374.92476156959</v>
      </c>
      <c r="D70" s="88">
        <f t="shared" si="14"/>
        <v>593485.86676368699</v>
      </c>
      <c r="E70" s="88">
        <f t="shared" si="14"/>
        <v>627479.6047777324</v>
      </c>
      <c r="F70" s="88">
        <f t="shared" si="14"/>
        <v>663924.08551661822</v>
      </c>
      <c r="G70" s="88">
        <f t="shared" si="14"/>
        <v>701706.55913453235</v>
      </c>
      <c r="H70" s="88">
        <f t="shared" si="14"/>
        <v>741411.2564839907</v>
      </c>
      <c r="I70" s="88">
        <f t="shared" si="14"/>
        <v>783689.21595380548</v>
      </c>
      <c r="J70" s="88">
        <f t="shared" si="14"/>
        <v>828403.81170867803</v>
      </c>
      <c r="K70" s="88">
        <f>SUM(K55:K69)</f>
        <v>875696.81243365433</v>
      </c>
      <c r="L70" s="56">
        <f>(B70-B53)/$B$19</f>
        <v>1.6021954696759589E-2</v>
      </c>
      <c r="M70" s="56">
        <f>(K70-K53)/$K$19</f>
        <v>1.6152130613098017E-2</v>
      </c>
      <c r="P70" s="269"/>
    </row>
    <row r="71" spans="1:16">
      <c r="A71" s="210" t="s">
        <v>338</v>
      </c>
      <c r="B71" s="6"/>
      <c r="C71" s="6"/>
      <c r="D71" s="6"/>
      <c r="E71" s="6"/>
      <c r="F71" s="6"/>
      <c r="G71" s="6"/>
      <c r="H71" s="6"/>
      <c r="I71" s="6"/>
      <c r="J71" s="6"/>
      <c r="K71" s="6"/>
      <c r="L71" s="299"/>
    </row>
    <row r="72" spans="1:16">
      <c r="A72" s="6" t="s">
        <v>4</v>
      </c>
      <c r="B72" s="285">
        <f>B55*UF_Assumptions_1!$G4*UF_Assumptions_1!$F4</f>
        <v>160875.53402503897</v>
      </c>
      <c r="C72" s="285">
        <f>C55*UF_Assumptions_1!$G4*UF_Assumptions_1!$F4</f>
        <v>170424.51329360213</v>
      </c>
      <c r="D72" s="285">
        <f>D55*UF_Assumptions_1!$G4*UF_Assumptions_1!$F4</f>
        <v>180341.34324471146</v>
      </c>
      <c r="E72" s="285">
        <f>E55*UF_Assumptions_1!$G4*UF_Assumptions_1!$F4</f>
        <v>191247.15615572047</v>
      </c>
      <c r="F72" s="285">
        <f>F55*UF_Assumptions_1!$G4*UF_Assumptions_1!$F4</f>
        <v>203430.00537362092</v>
      </c>
      <c r="G72" s="285">
        <f>G55*UF_Assumptions_1!$G4*UF_Assumptions_1!$F4</f>
        <v>215500.8322422257</v>
      </c>
      <c r="H72" s="285">
        <f>H55*UF_Assumptions_1!$G4*UF_Assumptions_1!$F4</f>
        <v>228284.70938197168</v>
      </c>
      <c r="I72" s="285">
        <f>I55*UF_Assumptions_1!$G4*UF_Assumptions_1!$F4</f>
        <v>242107.67522432769</v>
      </c>
      <c r="J72" s="285">
        <f>J55*UF_Assumptions_1!$G4*UF_Assumptions_1!$F4</f>
        <v>256767.58376124274</v>
      </c>
      <c r="K72" s="285">
        <f>K55*UF_Assumptions_1!$G4*UF_Assumptions_1!$F4</f>
        <v>272315.10254119406</v>
      </c>
      <c r="L72" s="299"/>
    </row>
    <row r="73" spans="1:16">
      <c r="A73" s="6" t="s">
        <v>5</v>
      </c>
      <c r="B73" s="285">
        <f>B56*UF_Assumptions_1!$G5*UF_Assumptions_1!$F5</f>
        <v>116135.34999685976</v>
      </c>
      <c r="C73" s="285">
        <f>C56*UF_Assumptions_1!$G5*UF_Assumptions_1!$F5</f>
        <v>122564.0189968295</v>
      </c>
      <c r="D73" s="285">
        <f>D56*UF_Assumptions_1!$G5*UF_Assumptions_1!$F5</f>
        <v>129328.13748490704</v>
      </c>
      <c r="E73" s="285">
        <f>E56*UF_Assumptions_1!$G5*UF_Assumptions_1!$F5</f>
        <v>136890.24833836249</v>
      </c>
      <c r="F73" s="285">
        <f>F56*UF_Assumptions_1!$G5*UF_Assumptions_1!$F5</f>
        <v>144514.60198931326</v>
      </c>
      <c r="G73" s="285">
        <f>G56*UF_Assumptions_1!$G5*UF_Assumptions_1!$F5</f>
        <v>152655.91277266771</v>
      </c>
      <c r="H73" s="285">
        <f>H56*UF_Assumptions_1!$G5*UF_Assumptions_1!$F5</f>
        <v>161253.61517779276</v>
      </c>
      <c r="I73" s="285">
        <f>I56*UF_Assumptions_1!$G5*UF_Assumptions_1!$F5</f>
        <v>170265.08068608266</v>
      </c>
      <c r="J73" s="285">
        <f>J56*UF_Assumptions_1!$G5*UF_Assumptions_1!$F5</f>
        <v>179780.10079355139</v>
      </c>
      <c r="K73" s="285">
        <f>K56*UF_Assumptions_1!$G5*UF_Assumptions_1!$F5</f>
        <v>189826.80906251413</v>
      </c>
      <c r="L73" s="299"/>
    </row>
    <row r="74" spans="1:16">
      <c r="A74" s="6" t="s">
        <v>6</v>
      </c>
      <c r="B74" s="285">
        <f>B57*UF_Assumptions_1!$G6*UF_Assumptions_1!$F6</f>
        <v>13775.54707513068</v>
      </c>
      <c r="C74" s="285">
        <f>C57*UF_Assumptions_1!$G6*UF_Assumptions_1!$F6</f>
        <v>14538.092092146697</v>
      </c>
      <c r="D74" s="285">
        <f>D57*UF_Assumptions_1!$G6*UF_Assumptions_1!$F6</f>
        <v>15340.426890782888</v>
      </c>
      <c r="E74" s="285">
        <f>E57*UF_Assumptions_1!$G6*UF_Assumptions_1!$F6</f>
        <v>16176.027503258647</v>
      </c>
      <c r="F74" s="285">
        <f>F57*UF_Assumptions_1!$G6*UF_Assumptions_1!$F6</f>
        <v>17060.794335167462</v>
      </c>
      <c r="G74" s="285">
        <f>G57*UF_Assumptions_1!$G6*UF_Assumptions_1!$F6</f>
        <v>18004.85749318566</v>
      </c>
      <c r="H74" s="285">
        <f>H57*UF_Assumptions_1!$G6*UF_Assumptions_1!$F6</f>
        <v>18982.884731208131</v>
      </c>
      <c r="I74" s="285">
        <f>I57*UF_Assumptions_1!$G6*UF_Assumptions_1!$F6</f>
        <v>20018.404831658794</v>
      </c>
      <c r="J74" s="285">
        <f>J57*UF_Assumptions_1!$G6*UF_Assumptions_1!$F6</f>
        <v>21110.408016226775</v>
      </c>
      <c r="K74" s="285">
        <f>K57*UF_Assumptions_1!$G6*UF_Assumptions_1!$F6</f>
        <v>22261.974641145891</v>
      </c>
      <c r="L74" s="299"/>
    </row>
    <row r="75" spans="1:16">
      <c r="A75" s="6" t="s">
        <v>7</v>
      </c>
      <c r="B75" s="285">
        <f>B58*UF_Assumptions_1!$G7*UF_Assumptions_1!$F7</f>
        <v>23142.481014852452</v>
      </c>
      <c r="C75" s="285">
        <f>C58*UF_Assumptions_1!$G7*UF_Assumptions_1!$F7</f>
        <v>24168.87944961874</v>
      </c>
      <c r="D75" s="285">
        <f>D58*UF_Assumptions_1!$G7*UF_Assumptions_1!$F7</f>
        <v>25236.817331289782</v>
      </c>
      <c r="E75" s="285">
        <f>E58*UF_Assumptions_1!$G7*UF_Assumptions_1!$F7</f>
        <v>26358.998380583165</v>
      </c>
      <c r="F75" s="285">
        <f>F58*UF_Assumptions_1!$G7*UF_Assumptions_1!$F7</f>
        <v>27536.970683109703</v>
      </c>
      <c r="G75" s="285">
        <f>G58*UF_Assumptions_1!$G7*UF_Assumptions_1!$F7</f>
        <v>28730.186927946666</v>
      </c>
      <c r="H75" s="285">
        <f>H58*UF_Assumptions_1!$G7*UF_Assumptions_1!$F7</f>
        <v>29974.688012210219</v>
      </c>
      <c r="I75" s="285">
        <f>I58*UF_Assumptions_1!$G7*UF_Assumptions_1!$F7</f>
        <v>31280.023758423922</v>
      </c>
      <c r="J75" s="285">
        <f>J58*UF_Assumptions_1!$G7*UF_Assumptions_1!$F7</f>
        <v>32642.196848767977</v>
      </c>
      <c r="K75" s="285">
        <f>K58*UF_Assumptions_1!$G7*UF_Assumptions_1!$F7</f>
        <v>34063.6813501406</v>
      </c>
      <c r="L75" s="299"/>
    </row>
    <row r="76" spans="1:16">
      <c r="A76" s="6" t="s">
        <v>8</v>
      </c>
      <c r="B76" s="285">
        <f>B59*UF_Assumptions_1!$G8*UF_Assumptions_1!$F8</f>
        <v>28689.635954420595</v>
      </c>
      <c r="C76" s="285">
        <f>C59*UF_Assumptions_1!$G8*UF_Assumptions_1!$F8</f>
        <v>30335.148515759727</v>
      </c>
      <c r="D76" s="285">
        <f>D59*UF_Assumptions_1!$G8*UF_Assumptions_1!$F8</f>
        <v>31948.617271280385</v>
      </c>
      <c r="E76" s="285">
        <f>E59*UF_Assumptions_1!$G8*UF_Assumptions_1!$F8</f>
        <v>33784.762834506182</v>
      </c>
      <c r="F76" s="285">
        <f>F59*UF_Assumptions_1!$G8*UF_Assumptions_1!$F8</f>
        <v>35734.081370261993</v>
      </c>
      <c r="G76" s="285">
        <f>G59*UF_Assumptions_1!$G8*UF_Assumptions_1!$F8</f>
        <v>37782.926230403427</v>
      </c>
      <c r="H76" s="285">
        <f>H59*UF_Assumptions_1!$G8*UF_Assumptions_1!$F8</f>
        <v>39910.890682114885</v>
      </c>
      <c r="I76" s="285">
        <f>I59*UF_Assumptions_1!$G8*UF_Assumptions_1!$F8</f>
        <v>42181.182194971159</v>
      </c>
      <c r="J76" s="285">
        <f>J59*UF_Assumptions_1!$G8*UF_Assumptions_1!$F8</f>
        <v>44580.606980834782</v>
      </c>
      <c r="K76" s="285">
        <f>K59*UF_Assumptions_1!$G8*UF_Assumptions_1!$F8</f>
        <v>47116.508905555907</v>
      </c>
      <c r="L76" s="299"/>
    </row>
    <row r="77" spans="1:16">
      <c r="A77" s="6" t="s">
        <v>9</v>
      </c>
      <c r="B77" s="285">
        <f>B60*UF_Assumptions_1!$G9*UF_Assumptions_1!$F9</f>
        <v>19362.776332396246</v>
      </c>
      <c r="C77" s="285">
        <f>C60*UF_Assumptions_1!$G9*UF_Assumptions_1!$F9</f>
        <v>20763.880217438782</v>
      </c>
      <c r="D77" s="285">
        <f>D60*UF_Assumptions_1!$G9*UF_Assumptions_1!$F9</f>
        <v>22221.32046391314</v>
      </c>
      <c r="E77" s="285">
        <f>E60*UF_Assumptions_1!$G9*UF_Assumptions_1!$F9</f>
        <v>23809.657816664283</v>
      </c>
      <c r="F77" s="285">
        <f>F60*UF_Assumptions_1!$G9*UF_Assumptions_1!$F9</f>
        <v>25493.161176890739</v>
      </c>
      <c r="G77" s="285">
        <f>G60*UF_Assumptions_1!$G9*UF_Assumptions_1!$F9</f>
        <v>27337.352835811151</v>
      </c>
      <c r="H77" s="285">
        <f>H60*UF_Assumptions_1!$G9*UF_Assumptions_1!$F9</f>
        <v>29314.544806726648</v>
      </c>
      <c r="I77" s="285">
        <f>I60*UF_Assumptions_1!$G9*UF_Assumptions_1!$F9</f>
        <v>31412.1087646571</v>
      </c>
      <c r="J77" s="285">
        <f>J60*UF_Assumptions_1!$G9*UF_Assumptions_1!$F9</f>
        <v>33659.753611587235</v>
      </c>
      <c r="K77" s="285">
        <f>K60*UF_Assumptions_1!$G9*UF_Assumptions_1!$F9</f>
        <v>36068.216637994083</v>
      </c>
      <c r="L77" s="299"/>
    </row>
    <row r="78" spans="1:16">
      <c r="A78" s="6" t="s">
        <v>10</v>
      </c>
      <c r="B78" s="285">
        <f>B61*UF_Assumptions_1!$G10*UF_Assumptions_1!$F10</f>
        <v>18522.992176900549</v>
      </c>
      <c r="C78" s="285">
        <f>C61*UF_Assumptions_1!$G10*UF_Assumptions_1!$F10</f>
        <v>19418.627310929034</v>
      </c>
      <c r="D78" s="285">
        <f>D61*UF_Assumptions_1!$G10*UF_Assumptions_1!$F10</f>
        <v>20296.090333440869</v>
      </c>
      <c r="E78" s="285">
        <f>E61*UF_Assumptions_1!$G10*UF_Assumptions_1!$F10</f>
        <v>21218.882023425394</v>
      </c>
      <c r="F78" s="285">
        <f>F61*UF_Assumptions_1!$G10*UF_Assumptions_1!$F10</f>
        <v>22230.843428114509</v>
      </c>
      <c r="G78" s="285">
        <f>G61*UF_Assumptions_1!$G10*UF_Assumptions_1!$F10</f>
        <v>23327.56505072103</v>
      </c>
      <c r="H78" s="285">
        <f>H61*UF_Assumptions_1!$G10*UF_Assumptions_1!$F10</f>
        <v>24548.053459033508</v>
      </c>
      <c r="I78" s="285">
        <f>I61*UF_Assumptions_1!$G10*UF_Assumptions_1!$F10</f>
        <v>25764.389096072493</v>
      </c>
      <c r="J78" s="285">
        <f>J61*UF_Assumptions_1!$G10*UF_Assumptions_1!$F10</f>
        <v>27040.987079267525</v>
      </c>
      <c r="K78" s="285">
        <f>K61*UF_Assumptions_1!$G10*UF_Assumptions_1!$F10</f>
        <v>28380.83238639211</v>
      </c>
      <c r="L78" s="299"/>
    </row>
    <row r="79" spans="1:16">
      <c r="A79" s="6" t="s">
        <v>18</v>
      </c>
      <c r="B79" s="285">
        <f>B62*UF_Assumptions_1!$G11*UF_Assumptions_1!$F11</f>
        <v>27072.049670683115</v>
      </c>
      <c r="C79" s="285">
        <f>C62*UF_Assumptions_1!$G11*UF_Assumptions_1!$F11</f>
        <v>28651.865686638484</v>
      </c>
      <c r="D79" s="285">
        <f>D62*UF_Assumptions_1!$G11*UF_Assumptions_1!$F11</f>
        <v>30347.745737637542</v>
      </c>
      <c r="E79" s="285">
        <f>E62*UF_Assumptions_1!$G11*UF_Assumptions_1!$F11</f>
        <v>32122.247573692188</v>
      </c>
      <c r="F79" s="285">
        <f>F62*UF_Assumptions_1!$G11*UF_Assumptions_1!$F11</f>
        <v>34072.072437317584</v>
      </c>
      <c r="G79" s="285">
        <f>G62*UF_Assumptions_1!$G11*UF_Assumptions_1!$F11</f>
        <v>36127.873257186438</v>
      </c>
      <c r="H79" s="285">
        <f>H62*UF_Assumptions_1!$G11*UF_Assumptions_1!$F11</f>
        <v>38271.040354198187</v>
      </c>
      <c r="I79" s="285">
        <f>I62*UF_Assumptions_1!$G11*UF_Assumptions_1!$F11</f>
        <v>40562.88734099776</v>
      </c>
      <c r="J79" s="285">
        <f>J62*UF_Assumptions_1!$G11*UF_Assumptions_1!$F11</f>
        <v>42991.97107457996</v>
      </c>
      <c r="K79" s="285">
        <f>K62*UF_Assumptions_1!$G11*UF_Assumptions_1!$F11</f>
        <v>45566.508176630821</v>
      </c>
      <c r="L79" s="299"/>
    </row>
    <row r="80" spans="1:16">
      <c r="A80" s="6" t="s">
        <v>16</v>
      </c>
      <c r="B80" s="285">
        <f>B63*UF_Assumptions_1!$G12*UF_Assumptions_1!$F12</f>
        <v>9637.1769998811087</v>
      </c>
      <c r="C80" s="285">
        <f>C63*UF_Assumptions_1!$G12*UF_Assumptions_1!$F12</f>
        <v>10083.87888270471</v>
      </c>
      <c r="D80" s="285">
        <f>D63*UF_Assumptions_1!$G12*UF_Assumptions_1!$F12</f>
        <v>10559.707107985336</v>
      </c>
      <c r="E80" s="285">
        <f>E63*UF_Assumptions_1!$G12*UF_Assumptions_1!$F12</f>
        <v>11060.948612131126</v>
      </c>
      <c r="F80" s="285">
        <f>F63*UF_Assumptions_1!$G12*UF_Assumptions_1!$F12</f>
        <v>11588.462412451476</v>
      </c>
      <c r="G80" s="285">
        <f>G63*UF_Assumptions_1!$G12*UF_Assumptions_1!$F12</f>
        <v>12148.56775369268</v>
      </c>
      <c r="H80" s="285">
        <f>H63*UF_Assumptions_1!$G12*UF_Assumptions_1!$F12</f>
        <v>12735.566684289943</v>
      </c>
      <c r="I80" s="285">
        <f>I63*UF_Assumptions_1!$G12*UF_Assumptions_1!$F12</f>
        <v>13345.373113401587</v>
      </c>
      <c r="J80" s="285">
        <f>J63*UF_Assumptions_1!$G12*UF_Assumptions_1!$F12</f>
        <v>13984.375250099914</v>
      </c>
      <c r="K80" s="285">
        <f>K63*UF_Assumptions_1!$G12*UF_Assumptions_1!$F12</f>
        <v>14653.970556324568</v>
      </c>
      <c r="L80" s="299"/>
    </row>
    <row r="81" spans="1:16">
      <c r="A81" s="6" t="s">
        <v>11</v>
      </c>
      <c r="B81" s="285">
        <f>B64*UF_Assumptions_1!$G13*UF_Assumptions_1!$F13</f>
        <v>5803.9646256378692</v>
      </c>
      <c r="C81" s="285">
        <f>C64*UF_Assumptions_1!$G13*UF_Assumptions_1!$F13</f>
        <v>6148.466592463129</v>
      </c>
      <c r="D81" s="285">
        <f>D64*UF_Assumptions_1!$G13*UF_Assumptions_1!$F13</f>
        <v>6512.389205825617</v>
      </c>
      <c r="E81" s="285">
        <f>E64*UF_Assumptions_1!$G13*UF_Assumptions_1!$F13</f>
        <v>6899.6987364469805</v>
      </c>
      <c r="F81" s="285">
        <f>F64*UF_Assumptions_1!$G13*UF_Assumptions_1!$F13</f>
        <v>7311.6071465188734</v>
      </c>
      <c r="G81" s="285">
        <f>G64*UF_Assumptions_1!$G13*UF_Assumptions_1!$F13</f>
        <v>7760.0802696191513</v>
      </c>
      <c r="H81" s="285">
        <f>H64*UF_Assumptions_1!$G13*UF_Assumptions_1!$F13</f>
        <v>8197.1341615140846</v>
      </c>
      <c r="I81" s="285">
        <f>I64*UF_Assumptions_1!$G13*UF_Assumptions_1!$F13</f>
        <v>8679.8176652357797</v>
      </c>
      <c r="J81" s="285">
        <f>J64*UF_Assumptions_1!$G13*UF_Assumptions_1!$F13</f>
        <v>9190.9216436463121</v>
      </c>
      <c r="K81" s="285">
        <f>K64*UF_Assumptions_1!$G13*UF_Assumptions_1!$F13</f>
        <v>9732.11925014384</v>
      </c>
      <c r="L81" s="299"/>
    </row>
    <row r="82" spans="1:16">
      <c r="A82" s="6" t="s">
        <v>13</v>
      </c>
      <c r="B82" s="285">
        <f>B65</f>
        <v>13015.934321462773</v>
      </c>
      <c r="C82" s="285">
        <f t="shared" ref="C82:K83" si="15">C65</f>
        <v>13476.024721270978</v>
      </c>
      <c r="D82" s="285">
        <f t="shared" si="15"/>
        <v>13923.220163679234</v>
      </c>
      <c r="E82" s="285">
        <f t="shared" si="15"/>
        <v>14458.753862211928</v>
      </c>
      <c r="F82" s="285">
        <f t="shared" si="15"/>
        <v>15047.036138730071</v>
      </c>
      <c r="G82" s="285">
        <f t="shared" si="15"/>
        <v>15608.734786912868</v>
      </c>
      <c r="H82" s="285">
        <f t="shared" si="15"/>
        <v>16159.948137089295</v>
      </c>
      <c r="I82" s="285">
        <f t="shared" si="15"/>
        <v>16766.700865673727</v>
      </c>
      <c r="J82" s="285">
        <f t="shared" si="15"/>
        <v>17396.231249972214</v>
      </c>
      <c r="K82" s="285">
        <f t="shared" si="15"/>
        <v>18049.393987394586</v>
      </c>
      <c r="L82" s="299"/>
    </row>
    <row r="83" spans="1:16">
      <c r="A83" s="6" t="s">
        <v>71</v>
      </c>
      <c r="B83" s="285">
        <f>B66</f>
        <v>28791.565066927964</v>
      </c>
      <c r="C83" s="285">
        <f t="shared" si="15"/>
        <v>30298.917575967578</v>
      </c>
      <c r="D83" s="285">
        <f t="shared" si="15"/>
        <v>31880.154947029732</v>
      </c>
      <c r="E83" s="285">
        <f t="shared" si="15"/>
        <v>33584.788311616554</v>
      </c>
      <c r="F83" s="285">
        <f t="shared" si="15"/>
        <v>35388.140800757341</v>
      </c>
      <c r="G83" s="285">
        <f t="shared" si="15"/>
        <v>37275.55331184082</v>
      </c>
      <c r="H83" s="285">
        <f t="shared" si="15"/>
        <v>39225.794609276592</v>
      </c>
      <c r="I83" s="285">
        <f t="shared" si="15"/>
        <v>41300.179658613044</v>
      </c>
      <c r="J83" s="285">
        <f t="shared" si="15"/>
        <v>43484.255035020928</v>
      </c>
      <c r="K83" s="285">
        <f t="shared" si="15"/>
        <v>45783.819883571348</v>
      </c>
      <c r="L83" s="299"/>
    </row>
    <row r="84" spans="1:16">
      <c r="A84" s="6" t="s">
        <v>166</v>
      </c>
      <c r="B84" s="285">
        <f>B67*(SUM(B72:B81)/SUM(B55:B64))</f>
        <v>39402.539842157144</v>
      </c>
      <c r="C84" s="285">
        <f t="shared" ref="C84:K84" si="16">C67*(SUM(C72:C81)/SUM(C55:C64))</f>
        <v>41676.433411191611</v>
      </c>
      <c r="D84" s="285">
        <f t="shared" si="16"/>
        <v>43996.652773942427</v>
      </c>
      <c r="E84" s="285">
        <f t="shared" si="16"/>
        <v>46480.778454126637</v>
      </c>
      <c r="F84" s="285">
        <f t="shared" si="16"/>
        <v>49143.382338272335</v>
      </c>
      <c r="G84" s="285">
        <f t="shared" si="16"/>
        <v>51978.920231794211</v>
      </c>
      <c r="H84" s="285">
        <f t="shared" si="16"/>
        <v>54895.135798157215</v>
      </c>
      <c r="I84" s="285">
        <f t="shared" si="16"/>
        <v>58015.31495027637</v>
      </c>
      <c r="J84" s="285">
        <f t="shared" si="16"/>
        <v>61314.111355173605</v>
      </c>
      <c r="K84" s="285">
        <f t="shared" si="16"/>
        <v>64801.828528319471</v>
      </c>
      <c r="L84" s="299"/>
      <c r="N84" s="269">
        <f>K84/(SUM(K72:K81)+K84)</f>
        <v>8.473180343452949E-2</v>
      </c>
    </row>
    <row r="85" spans="1:16">
      <c r="A85" s="212" t="s">
        <v>218</v>
      </c>
      <c r="B85" s="285">
        <f t="shared" ref="B85:K86" si="17">B102</f>
        <v>0</v>
      </c>
      <c r="C85" s="285">
        <f t="shared" si="17"/>
        <v>0</v>
      </c>
      <c r="D85" s="285">
        <f t="shared" si="17"/>
        <v>0</v>
      </c>
      <c r="E85" s="285">
        <f t="shared" si="17"/>
        <v>0</v>
      </c>
      <c r="F85" s="285">
        <f t="shared" si="17"/>
        <v>0</v>
      </c>
      <c r="G85" s="285">
        <f t="shared" si="17"/>
        <v>0</v>
      </c>
      <c r="H85" s="285">
        <f t="shared" si="17"/>
        <v>0</v>
      </c>
      <c r="I85" s="285">
        <f t="shared" si="17"/>
        <v>0</v>
      </c>
      <c r="J85" s="285">
        <f t="shared" si="17"/>
        <v>0</v>
      </c>
      <c r="K85" s="285">
        <f t="shared" si="17"/>
        <v>0</v>
      </c>
      <c r="L85" s="299"/>
    </row>
    <row r="86" spans="1:16">
      <c r="A86" s="280" t="s">
        <v>276</v>
      </c>
      <c r="B86" s="285">
        <f t="shared" si="17"/>
        <v>0</v>
      </c>
      <c r="C86" s="285">
        <f t="shared" si="17"/>
        <v>0</v>
      </c>
      <c r="D86" s="285">
        <f t="shared" si="17"/>
        <v>0</v>
      </c>
      <c r="E86" s="285">
        <f t="shared" si="17"/>
        <v>0</v>
      </c>
      <c r="F86" s="285">
        <f t="shared" si="17"/>
        <v>0</v>
      </c>
      <c r="G86" s="285">
        <f t="shared" si="17"/>
        <v>0</v>
      </c>
      <c r="H86" s="285">
        <f t="shared" si="17"/>
        <v>0</v>
      </c>
      <c r="I86" s="285">
        <f t="shared" si="17"/>
        <v>0</v>
      </c>
      <c r="J86" s="285">
        <f t="shared" si="17"/>
        <v>0</v>
      </c>
      <c r="K86" s="285">
        <f t="shared" si="17"/>
        <v>0</v>
      </c>
      <c r="L86" s="299"/>
    </row>
    <row r="87" spans="1:16">
      <c r="A87" s="6" t="s">
        <v>98</v>
      </c>
      <c r="B87" s="285">
        <f>SUM(B72:B86)</f>
        <v>504227.54710234929</v>
      </c>
      <c r="C87" s="285">
        <f t="shared" ref="C87:K87" si="18">SUM(C72:C86)</f>
        <v>532548.74674656102</v>
      </c>
      <c r="D87" s="285">
        <f t="shared" si="18"/>
        <v>561932.62295642542</v>
      </c>
      <c r="E87" s="285">
        <f t="shared" si="18"/>
        <v>594092.94860274612</v>
      </c>
      <c r="F87" s="285">
        <f t="shared" si="18"/>
        <v>628551.15963052621</v>
      </c>
      <c r="G87" s="285">
        <f t="shared" si="18"/>
        <v>664239.36316400755</v>
      </c>
      <c r="H87" s="285">
        <f t="shared" si="18"/>
        <v>701754.00599558314</v>
      </c>
      <c r="I87" s="285">
        <f t="shared" si="18"/>
        <v>741699.1381503921</v>
      </c>
      <c r="J87" s="285">
        <f t="shared" si="18"/>
        <v>783943.50269997132</v>
      </c>
      <c r="K87" s="285">
        <f t="shared" si="18"/>
        <v>828620.76590732147</v>
      </c>
      <c r="L87" s="56">
        <f>(B87-B70)/$B$19</f>
        <v>-5.4546379923359999E-2</v>
      </c>
      <c r="M87" s="56">
        <f>(K87-K70)/$K$19</f>
        <v>-5.5356253268958981E-2</v>
      </c>
      <c r="P87" s="269"/>
    </row>
    <row r="88" spans="1:16">
      <c r="A88" s="210" t="s">
        <v>275</v>
      </c>
    </row>
    <row r="89" spans="1:16">
      <c r="A89" t="s">
        <v>4</v>
      </c>
      <c r="B89" s="88">
        <f>B72*UF_Assumptions_1!$H4</f>
        <v>165605.27472537514</v>
      </c>
      <c r="C89" s="88">
        <f>C72*UF_Assumptions_1!$H4</f>
        <v>175434.99398443406</v>
      </c>
      <c r="D89" s="88">
        <f>D72*UF_Assumptions_1!$H4</f>
        <v>185643.37873610598</v>
      </c>
      <c r="E89" s="88">
        <f>E72*UF_Assumptions_1!$H4</f>
        <v>196869.82254669868</v>
      </c>
      <c r="F89" s="88">
        <f>F72*UF_Assumptions_1!$H4</f>
        <v>209410.8475316054</v>
      </c>
      <c r="G89" s="88">
        <f>G72*UF_Assumptions_1!$H4</f>
        <v>221836.55671014715</v>
      </c>
      <c r="H89" s="88">
        <f>H72*UF_Assumptions_1!$H4</f>
        <v>234996.27983780167</v>
      </c>
      <c r="I89" s="88">
        <f>I72*UF_Assumptions_1!$H4</f>
        <v>249225.64087592295</v>
      </c>
      <c r="J89" s="88">
        <f>J72*UF_Assumptions_1!$H4</f>
        <v>264316.55072382331</v>
      </c>
      <c r="K89" s="88">
        <f>K72*UF_Assumptions_1!$H4</f>
        <v>280321.16655590519</v>
      </c>
    </row>
    <row r="90" spans="1:16">
      <c r="A90" t="s">
        <v>5</v>
      </c>
      <c r="B90" s="88">
        <f>B73*UF_Assumptions_1!$H5</f>
        <v>122964.10857667511</v>
      </c>
      <c r="C90" s="88">
        <f>C73*UF_Assumptions_1!$H5</f>
        <v>129770.78331384307</v>
      </c>
      <c r="D90" s="88">
        <f>D73*UF_Assumptions_1!$H5</f>
        <v>136932.63196901957</v>
      </c>
      <c r="E90" s="88">
        <f>E73*UF_Assumptions_1!$H5</f>
        <v>144939.39494065821</v>
      </c>
      <c r="F90" s="88">
        <f>F73*UF_Assumptions_1!$H5</f>
        <v>153012.06058628488</v>
      </c>
      <c r="G90" s="88">
        <f>G73*UF_Assumptions_1!$H5</f>
        <v>161632.08044370057</v>
      </c>
      <c r="H90" s="88">
        <f>H73*UF_Assumptions_1!$H5</f>
        <v>170735.32775024697</v>
      </c>
      <c r="I90" s="88">
        <f>I73*UF_Assumptions_1!$H5</f>
        <v>180276.66743042431</v>
      </c>
      <c r="J90" s="88">
        <f>J73*UF_Assumptions_1!$H5</f>
        <v>190351.17072021222</v>
      </c>
      <c r="K90" s="88">
        <f>K73*UF_Assumptions_1!$H5</f>
        <v>200988.62543538996</v>
      </c>
    </row>
    <row r="91" spans="1:16">
      <c r="A91" t="s">
        <v>6</v>
      </c>
      <c r="B91" s="88">
        <f>B74*UF_Assumptions_1!$H6</f>
        <v>14585.549243148364</v>
      </c>
      <c r="C91" s="88">
        <f>C74*UF_Assumptions_1!$H6</f>
        <v>15392.931907164922</v>
      </c>
      <c r="D91" s="88">
        <f>D74*UF_Assumptions_1!$H6</f>
        <v>16242.443991960921</v>
      </c>
      <c r="E91" s="88">
        <f>E74*UF_Assumptions_1!$H6</f>
        <v>17127.177920450256</v>
      </c>
      <c r="F91" s="88">
        <f>F74*UF_Assumptions_1!$H6</f>
        <v>18063.969042075307</v>
      </c>
      <c r="G91" s="88">
        <f>G74*UF_Assumptions_1!$H6</f>
        <v>19063.543113784977</v>
      </c>
      <c r="H91" s="88">
        <f>H74*UF_Assumptions_1!$H6</f>
        <v>20099.078353403169</v>
      </c>
      <c r="I91" s="88">
        <f>I74*UF_Assumptions_1!$H6</f>
        <v>21195.487035760332</v>
      </c>
      <c r="J91" s="88">
        <f>J74*UF_Assumptions_1!$H6</f>
        <v>22351.700007580908</v>
      </c>
      <c r="K91" s="88">
        <f>K74*UF_Assumptions_1!$H6</f>
        <v>23570.978750045269</v>
      </c>
    </row>
    <row r="92" spans="1:16">
      <c r="A92" t="s">
        <v>7</v>
      </c>
      <c r="B92" s="88">
        <f>B75*UF_Assumptions_1!$H7</f>
        <v>24503.258898525775</v>
      </c>
      <c r="C92" s="88">
        <f>C75*UF_Assumptions_1!$H7</f>
        <v>25590.00956125632</v>
      </c>
      <c r="D92" s="88">
        <f>D75*UF_Assumptions_1!$H7</f>
        <v>26720.742190369619</v>
      </c>
      <c r="E92" s="88">
        <f>E75*UF_Assumptions_1!$H7</f>
        <v>27908.907485361455</v>
      </c>
      <c r="F92" s="88">
        <f>F75*UF_Assumptions_1!$H7</f>
        <v>29156.144559276552</v>
      </c>
      <c r="G92" s="88">
        <f>G75*UF_Assumptions_1!$H7</f>
        <v>30419.521919309929</v>
      </c>
      <c r="H92" s="88">
        <f>H75*UF_Assumptions_1!$H7</f>
        <v>31737.199667328179</v>
      </c>
      <c r="I92" s="88">
        <f>I75*UF_Assumptions_1!$H7</f>
        <v>33119.289155419247</v>
      </c>
      <c r="J92" s="88">
        <f>J75*UF_Assumptions_1!$H7</f>
        <v>34561.558023475533</v>
      </c>
      <c r="K92" s="88">
        <f>K75*UF_Assumptions_1!$H7</f>
        <v>36066.625813528866</v>
      </c>
    </row>
    <row r="93" spans="1:16">
      <c r="A93" t="s">
        <v>8</v>
      </c>
      <c r="B93" s="88">
        <f>B76*UF_Assumptions_1!$H8</f>
        <v>28689.635954420595</v>
      </c>
      <c r="C93" s="88">
        <f>C76*UF_Assumptions_1!$H8</f>
        <v>30335.148515759727</v>
      </c>
      <c r="D93" s="88">
        <f>D76*UF_Assumptions_1!$H8</f>
        <v>31948.617271280385</v>
      </c>
      <c r="E93" s="88">
        <f>E76*UF_Assumptions_1!$H8</f>
        <v>33784.762834506182</v>
      </c>
      <c r="F93" s="88">
        <f>F76*UF_Assumptions_1!$H8</f>
        <v>35734.081370261993</v>
      </c>
      <c r="G93" s="88">
        <f>G76*UF_Assumptions_1!$H8</f>
        <v>37782.926230403427</v>
      </c>
      <c r="H93" s="88">
        <f>H76*UF_Assumptions_1!$H8</f>
        <v>39910.890682114885</v>
      </c>
      <c r="I93" s="88">
        <f>I76*UF_Assumptions_1!$H8</f>
        <v>42181.182194971159</v>
      </c>
      <c r="J93" s="88">
        <f>J76*UF_Assumptions_1!$H8</f>
        <v>44580.606980834782</v>
      </c>
      <c r="K93" s="88">
        <f>K76*UF_Assumptions_1!$H8</f>
        <v>47116.508905555907</v>
      </c>
    </row>
    <row r="94" spans="1:16">
      <c r="A94" t="s">
        <v>9</v>
      </c>
      <c r="B94" s="88">
        <f>B77*UF_Assumptions_1!$H9</f>
        <v>20501.307580741144</v>
      </c>
      <c r="C94" s="88">
        <f>C77*UF_Assumptions_1!$H9</f>
        <v>21984.796374224181</v>
      </c>
      <c r="D94" s="88">
        <f>D77*UF_Assumptions_1!$H9</f>
        <v>23527.934107191231</v>
      </c>
      <c r="E94" s="88">
        <f>E77*UF_Assumptions_1!$H9</f>
        <v>25209.665696284141</v>
      </c>
      <c r="F94" s="88">
        <f>F77*UF_Assumptions_1!$H9</f>
        <v>26992.159054091913</v>
      </c>
      <c r="G94" s="88">
        <f>G77*UF_Assumptions_1!$H9</f>
        <v>28944.789182556844</v>
      </c>
      <c r="H94" s="88">
        <f>H77*UF_Assumptions_1!$H9</f>
        <v>31038.240041362173</v>
      </c>
      <c r="I94" s="88">
        <f>I77*UF_Assumptions_1!$H9</f>
        <v>33259.140760018934</v>
      </c>
      <c r="J94" s="88">
        <f>J77*UF_Assumptions_1!$H9</f>
        <v>35638.947123948565</v>
      </c>
      <c r="K94" s="88">
        <f>K77*UF_Assumptions_1!$H9</f>
        <v>38189.027776308132</v>
      </c>
    </row>
    <row r="95" spans="1:16">
      <c r="A95" t="s">
        <v>10</v>
      </c>
      <c r="B95" s="88">
        <f>B78*UF_Assumptions_1!$H10</f>
        <v>18522.992176900549</v>
      </c>
      <c r="C95" s="88">
        <f>C78*UF_Assumptions_1!$H10</f>
        <v>19418.627310929034</v>
      </c>
      <c r="D95" s="88">
        <f>D78*UF_Assumptions_1!$H10</f>
        <v>20296.090333440869</v>
      </c>
      <c r="E95" s="88">
        <f>E78*UF_Assumptions_1!$H10</f>
        <v>21218.882023425394</v>
      </c>
      <c r="F95" s="88">
        <f>F78*UF_Assumptions_1!$H10</f>
        <v>22230.843428114509</v>
      </c>
      <c r="G95" s="88">
        <f>G78*UF_Assumptions_1!$H10</f>
        <v>23327.56505072103</v>
      </c>
      <c r="H95" s="88">
        <f>H78*UF_Assumptions_1!$H10</f>
        <v>24548.053459033508</v>
      </c>
      <c r="I95" s="88">
        <f>I78*UF_Assumptions_1!$H10</f>
        <v>25764.389096072493</v>
      </c>
      <c r="J95" s="88">
        <f>J78*UF_Assumptions_1!$H10</f>
        <v>27040.987079267525</v>
      </c>
      <c r="K95" s="88">
        <f>K78*UF_Assumptions_1!$H10</f>
        <v>28380.83238639211</v>
      </c>
    </row>
    <row r="96" spans="1:16">
      <c r="A96" t="s">
        <v>18</v>
      </c>
      <c r="B96" s="88">
        <f>B79*UF_Assumptions_1!$H11</f>
        <v>28663.886191319281</v>
      </c>
      <c r="C96" s="88">
        <f>C79*UF_Assumptions_1!$H11</f>
        <v>30336.595389012826</v>
      </c>
      <c r="D96" s="88">
        <f>D79*UF_Assumptions_1!$H11</f>
        <v>32132.193187010627</v>
      </c>
      <c r="E96" s="88">
        <f>E79*UF_Assumptions_1!$H11</f>
        <v>34011.035731025288</v>
      </c>
      <c r="F96" s="88">
        <f>F79*UF_Assumptions_1!$H11</f>
        <v>36075.510296631859</v>
      </c>
      <c r="G96" s="88">
        <f>G79*UF_Assumptions_1!$H11</f>
        <v>38252.192204708997</v>
      </c>
      <c r="H96" s="88">
        <f>H79*UF_Assumptions_1!$H11</f>
        <v>40521.377527025041</v>
      </c>
      <c r="I96" s="88">
        <f>I79*UF_Assumptions_1!$H11</f>
        <v>42947.98511664843</v>
      </c>
      <c r="J96" s="88">
        <f>J79*UF_Assumptions_1!$H11</f>
        <v>45519.898973765259</v>
      </c>
      <c r="K96" s="88">
        <f>K79*UF_Assumptions_1!$H11</f>
        <v>48245.818857416714</v>
      </c>
    </row>
    <row r="97" spans="1:16">
      <c r="A97" t="s">
        <v>16</v>
      </c>
      <c r="B97" s="88">
        <f>B80*UF_Assumptions_1!$H12</f>
        <v>10203.843007474117</v>
      </c>
      <c r="C97" s="88">
        <f>C80*UF_Assumptions_1!$H12</f>
        <v>10676.810961007746</v>
      </c>
      <c r="D97" s="88">
        <f>D80*UF_Assumptions_1!$H12</f>
        <v>11180.617885934873</v>
      </c>
      <c r="E97" s="88">
        <f>E80*UF_Assumptions_1!$H12</f>
        <v>11711.332390524436</v>
      </c>
      <c r="F97" s="88">
        <f>F80*UF_Assumptions_1!$H12</f>
        <v>12269.864002303622</v>
      </c>
      <c r="G97" s="88">
        <f>G80*UF_Assumptions_1!$H12</f>
        <v>12862.903537609809</v>
      </c>
      <c r="H97" s="88">
        <f>H80*UF_Assumptions_1!$H12</f>
        <v>13484.418005326192</v>
      </c>
      <c r="I97" s="88">
        <f>I80*UF_Assumptions_1!$H12</f>
        <v>14130.081052469601</v>
      </c>
      <c r="J97" s="88">
        <f>J80*UF_Assumptions_1!$H12</f>
        <v>14806.656514805789</v>
      </c>
      <c r="K97" s="88">
        <f>K80*UF_Assumptions_1!$H12</f>
        <v>15515.624025036452</v>
      </c>
    </row>
    <row r="98" spans="1:16">
      <c r="A98" t="s">
        <v>11</v>
      </c>
      <c r="B98" s="88">
        <f>B81*UF_Assumptions_1!$H13</f>
        <v>6145.2377456253753</v>
      </c>
      <c r="C98" s="88">
        <f>C81*UF_Assumptions_1!$H13</f>
        <v>6509.9964280999611</v>
      </c>
      <c r="D98" s="88">
        <f>D81*UF_Assumptions_1!$H13</f>
        <v>6895.3176911281626</v>
      </c>
      <c r="E98" s="88">
        <f>E81*UF_Assumptions_1!$H13</f>
        <v>7305.401022150063</v>
      </c>
      <c r="F98" s="88">
        <f>F81*UF_Assumptions_1!$H13</f>
        <v>7741.5296467341832</v>
      </c>
      <c r="G98" s="88">
        <f>G81*UF_Assumptions_1!$H13</f>
        <v>8216.3729894727567</v>
      </c>
      <c r="H98" s="88">
        <f>H81*UF_Assumptions_1!$H13</f>
        <v>8679.1256502111119</v>
      </c>
      <c r="I98" s="88">
        <f>I81*UF_Assumptions_1!$H13</f>
        <v>9190.1909439516439</v>
      </c>
      <c r="J98" s="88">
        <f>J81*UF_Assumptions_1!$H13</f>
        <v>9731.3478362927144</v>
      </c>
      <c r="K98" s="88">
        <f>K81*UF_Assumptions_1!$H13</f>
        <v>10304.367862052297</v>
      </c>
    </row>
    <row r="99" spans="1:16">
      <c r="A99" t="s">
        <v>13</v>
      </c>
      <c r="B99" s="88">
        <f>B82</f>
        <v>13015.934321462773</v>
      </c>
      <c r="C99" s="88">
        <f t="shared" ref="C99:K100" si="19">C82</f>
        <v>13476.024721270978</v>
      </c>
      <c r="D99" s="88">
        <f t="shared" si="19"/>
        <v>13923.220163679234</v>
      </c>
      <c r="E99" s="88">
        <f t="shared" si="19"/>
        <v>14458.753862211928</v>
      </c>
      <c r="F99" s="88">
        <f t="shared" si="19"/>
        <v>15047.036138730071</v>
      </c>
      <c r="G99" s="88">
        <f t="shared" si="19"/>
        <v>15608.734786912868</v>
      </c>
      <c r="H99" s="88">
        <f t="shared" si="19"/>
        <v>16159.948137089295</v>
      </c>
      <c r="I99" s="88">
        <f t="shared" si="19"/>
        <v>16766.700865673727</v>
      </c>
      <c r="J99" s="88">
        <f t="shared" si="19"/>
        <v>17396.231249972214</v>
      </c>
      <c r="K99" s="88">
        <f t="shared" si="19"/>
        <v>18049.393987394586</v>
      </c>
    </row>
    <row r="100" spans="1:16">
      <c r="A100" s="6" t="s">
        <v>71</v>
      </c>
      <c r="B100" s="88">
        <f>B83</f>
        <v>28791.565066927964</v>
      </c>
      <c r="C100" s="88">
        <f t="shared" si="19"/>
        <v>30298.917575967578</v>
      </c>
      <c r="D100" s="88">
        <f t="shared" si="19"/>
        <v>31880.154947029732</v>
      </c>
      <c r="E100" s="88">
        <f t="shared" si="19"/>
        <v>33584.788311616554</v>
      </c>
      <c r="F100" s="88">
        <f t="shared" si="19"/>
        <v>35388.140800757341</v>
      </c>
      <c r="G100" s="88">
        <f t="shared" si="19"/>
        <v>37275.55331184082</v>
      </c>
      <c r="H100" s="88">
        <f t="shared" si="19"/>
        <v>39225.794609276592</v>
      </c>
      <c r="I100" s="88">
        <f t="shared" si="19"/>
        <v>41300.179658613044</v>
      </c>
      <c r="J100" s="88">
        <f t="shared" si="19"/>
        <v>43484.255035020928</v>
      </c>
      <c r="K100" s="88">
        <f t="shared" si="19"/>
        <v>45783.819883571348</v>
      </c>
    </row>
    <row r="101" spans="1:16">
      <c r="A101" s="6" t="s">
        <v>166</v>
      </c>
      <c r="B101" s="88">
        <f>B84*(SUM(B89:B98)/SUM(B72:B81))</f>
        <v>41020.267230722297</v>
      </c>
      <c r="C101" s="88">
        <f t="shared" ref="C101:K101" si="20">C84*(SUM(C89:C98)/SUM(C72:C81))</f>
        <v>43387.248730730156</v>
      </c>
      <c r="D101" s="88">
        <f t="shared" si="20"/>
        <v>45803.305175872025</v>
      </c>
      <c r="E101" s="88">
        <f t="shared" si="20"/>
        <v>48389.787854020702</v>
      </c>
      <c r="F101" s="88">
        <f t="shared" si="20"/>
        <v>51160.72597972869</v>
      </c>
      <c r="G101" s="88">
        <f t="shared" si="20"/>
        <v>54112.646116145392</v>
      </c>
      <c r="H101" s="88">
        <f t="shared" si="20"/>
        <v>57148.292633160359</v>
      </c>
      <c r="I101" s="88">
        <f t="shared" si="20"/>
        <v>60396.058689769539</v>
      </c>
      <c r="J101" s="88">
        <f t="shared" si="20"/>
        <v>63829.733108289809</v>
      </c>
      <c r="K101" s="88">
        <f t="shared" si="20"/>
        <v>67460.040127364337</v>
      </c>
      <c r="N101" s="269">
        <f>K101/(SUM(K89:K98)+K101)</f>
        <v>8.4731803434529504E-2</v>
      </c>
    </row>
    <row r="102" spans="1:16">
      <c r="A102" s="212" t="s">
        <v>218</v>
      </c>
      <c r="B102" s="88">
        <f t="shared" ref="B102:K103" si="21">B68</f>
        <v>0</v>
      </c>
      <c r="C102" s="88">
        <f t="shared" si="21"/>
        <v>0</v>
      </c>
      <c r="D102" s="88">
        <f t="shared" si="21"/>
        <v>0</v>
      </c>
      <c r="E102" s="88">
        <f t="shared" si="21"/>
        <v>0</v>
      </c>
      <c r="F102" s="88">
        <f t="shared" si="21"/>
        <v>0</v>
      </c>
      <c r="G102" s="88">
        <f t="shared" si="21"/>
        <v>0</v>
      </c>
      <c r="H102" s="88">
        <f t="shared" si="21"/>
        <v>0</v>
      </c>
      <c r="I102" s="88">
        <f t="shared" si="21"/>
        <v>0</v>
      </c>
      <c r="J102" s="88">
        <f t="shared" si="21"/>
        <v>0</v>
      </c>
      <c r="K102" s="88">
        <f t="shared" si="21"/>
        <v>0</v>
      </c>
    </row>
    <row r="103" spans="1:16">
      <c r="A103" s="211" t="s">
        <v>276</v>
      </c>
      <c r="B103" s="88">
        <f t="shared" si="21"/>
        <v>0</v>
      </c>
      <c r="C103" s="88">
        <f t="shared" si="21"/>
        <v>0</v>
      </c>
      <c r="D103" s="88">
        <f t="shared" si="21"/>
        <v>0</v>
      </c>
      <c r="E103" s="88">
        <f t="shared" si="21"/>
        <v>0</v>
      </c>
      <c r="F103" s="88">
        <f t="shared" si="21"/>
        <v>0</v>
      </c>
      <c r="G103" s="88">
        <f t="shared" si="21"/>
        <v>0</v>
      </c>
      <c r="H103" s="88">
        <f t="shared" si="21"/>
        <v>0</v>
      </c>
      <c r="I103" s="88">
        <f t="shared" si="21"/>
        <v>0</v>
      </c>
      <c r="J103" s="88">
        <f t="shared" si="21"/>
        <v>0</v>
      </c>
      <c r="K103" s="88">
        <f t="shared" si="21"/>
        <v>0</v>
      </c>
    </row>
    <row r="104" spans="1:16">
      <c r="A104" s="6" t="s">
        <v>98</v>
      </c>
      <c r="B104" s="88">
        <f>SUM(B89:B103)</f>
        <v>523212.86071931844</v>
      </c>
      <c r="C104" s="88">
        <f t="shared" ref="C104:K104" si="22">SUM(C89:C103)</f>
        <v>552612.88477370061</v>
      </c>
      <c r="D104" s="88">
        <f t="shared" si="22"/>
        <v>583126.64765002322</v>
      </c>
      <c r="E104" s="88">
        <f t="shared" si="22"/>
        <v>616519.71261893329</v>
      </c>
      <c r="F104" s="88">
        <f t="shared" si="22"/>
        <v>652282.91243659623</v>
      </c>
      <c r="G104" s="88">
        <f t="shared" si="22"/>
        <v>689335.38559731469</v>
      </c>
      <c r="H104" s="88">
        <f t="shared" si="22"/>
        <v>728284.02635337913</v>
      </c>
      <c r="I104" s="88">
        <f t="shared" si="22"/>
        <v>769752.99287571537</v>
      </c>
      <c r="J104" s="88">
        <f t="shared" si="22"/>
        <v>813609.64337728953</v>
      </c>
      <c r="K104" s="88">
        <f t="shared" si="22"/>
        <v>859992.8303659613</v>
      </c>
      <c r="L104" s="56">
        <f>(B104-B87)/$B$19</f>
        <v>3.67216313711047E-2</v>
      </c>
      <c r="M104" s="56">
        <f>(K104-K87)/$K$19</f>
        <v>3.6890097488775982E-2</v>
      </c>
      <c r="P104" s="269"/>
    </row>
    <row r="105" spans="1:16" s="6" customFormat="1">
      <c r="A105" s="210" t="s">
        <v>361</v>
      </c>
      <c r="B105" s="285"/>
      <c r="C105" s="285"/>
      <c r="D105" s="285"/>
      <c r="E105" s="285"/>
      <c r="F105" s="285"/>
      <c r="G105" s="285"/>
      <c r="H105" s="285"/>
      <c r="I105" s="285"/>
      <c r="J105" s="285"/>
      <c r="K105" s="285"/>
      <c r="L105" s="299"/>
      <c r="M105" s="299"/>
    </row>
    <row r="106" spans="1:16">
      <c r="A106" t="s">
        <v>4</v>
      </c>
      <c r="B106" s="88">
        <f>B89*UF_Assumptions_1!$I4</f>
        <v>158762.07942392307</v>
      </c>
      <c r="C106" s="88">
        <f>C89*UF_Assumptions_1!$I4</f>
        <v>168185.61181025262</v>
      </c>
      <c r="D106" s="88">
        <f>D89*UF_Assumptions_1!$I4</f>
        <v>177972.16234991711</v>
      </c>
      <c r="E106" s="88">
        <f>E89*UF_Assumptions_1!$I4</f>
        <v>188734.70337924839</v>
      </c>
      <c r="F106" s="88">
        <f>F89*UF_Assumptions_1!$I4</f>
        <v>200757.50402984917</v>
      </c>
      <c r="G106" s="88">
        <f>G89*UF_Assumptions_1!$I4</f>
        <v>212669.75399153438</v>
      </c>
      <c r="H106" s="88">
        <f>H89*UF_Assumptions_1!$I4</f>
        <v>225285.68673796515</v>
      </c>
      <c r="I106" s="88">
        <f>I89*UF_Assumptions_1!$I4</f>
        <v>238927.05746744308</v>
      </c>
      <c r="J106" s="88">
        <f>J89*UF_Assumptions_1!$I4</f>
        <v>253394.37580512711</v>
      </c>
      <c r="K106" s="88">
        <f>K89*UF_Assumptions_1!$I4</f>
        <v>268737.64366960787</v>
      </c>
    </row>
    <row r="107" spans="1:16">
      <c r="A107" t="s">
        <v>5</v>
      </c>
      <c r="B107" s="88">
        <f>B90*UF_Assumptions_1!$I5</f>
        <v>115850.48024547379</v>
      </c>
      <c r="C107" s="88">
        <f>C90*UF_Assumptions_1!$I5</f>
        <v>122263.38028844798</v>
      </c>
      <c r="D107" s="88">
        <f>D90*UF_Assumptions_1!$I5</f>
        <v>129010.90699157723</v>
      </c>
      <c r="E107" s="88">
        <f>E90*UF_Assumptions_1!$I5</f>
        <v>136554.46865532571</v>
      </c>
      <c r="F107" s="88">
        <f>F90*UF_Assumptions_1!$I5</f>
        <v>144160.12044048726</v>
      </c>
      <c r="G107" s="88">
        <f>G90*UF_Assumptions_1!$I5</f>
        <v>152281.46130788699</v>
      </c>
      <c r="H107" s="88">
        <f>H90*UF_Assumptions_1!$I5</f>
        <v>160858.07430873759</v>
      </c>
      <c r="I107" s="88">
        <f>I90*UF_Assumptions_1!$I5</f>
        <v>169847.43548842263</v>
      </c>
      <c r="J107" s="88">
        <f>J90*UF_Assumptions_1!$I5</f>
        <v>179339.11609235071</v>
      </c>
      <c r="K107" s="88">
        <f>K90*UF_Assumptions_1!$I5</f>
        <v>189361.18067369462</v>
      </c>
    </row>
    <row r="108" spans="1:16">
      <c r="A108" t="s">
        <v>6</v>
      </c>
      <c r="B108" s="88">
        <f>B91*UF_Assumptions_1!$I6</f>
        <v>13982.840409052773</v>
      </c>
      <c r="C108" s="88">
        <f>C91*UF_Assumptions_1!$I6</f>
        <v>14756.860142679378</v>
      </c>
      <c r="D108" s="88">
        <f>D91*UF_Assumptions_1!$I6</f>
        <v>15571.268411387133</v>
      </c>
      <c r="E108" s="88">
        <f>E91*UF_Assumptions_1!$I6</f>
        <v>16419.443075248491</v>
      </c>
      <c r="F108" s="88">
        <f>F91*UF_Assumptions_1!$I6</f>
        <v>17317.523807892412</v>
      </c>
      <c r="G108" s="88">
        <f>G91*UF_Assumptions_1!$I6</f>
        <v>18275.793153032711</v>
      </c>
      <c r="H108" s="88">
        <f>H91*UF_Assumptions_1!$I6</f>
        <v>19268.537666944885</v>
      </c>
      <c r="I108" s="88">
        <f>I91*UF_Assumptions_1!$I6</f>
        <v>20319.64019129458</v>
      </c>
      <c r="J108" s="88">
        <f>J91*UF_Assumptions_1!$I6</f>
        <v>21428.07575270742</v>
      </c>
      <c r="K108" s="88">
        <f>K91*UF_Assumptions_1!$I6</f>
        <v>22596.971060372201</v>
      </c>
    </row>
    <row r="109" spans="1:16">
      <c r="A109" t="s">
        <v>7</v>
      </c>
      <c r="B109" s="88">
        <f>B92*UF_Assumptions_1!$I7</f>
        <v>23490.727223778569</v>
      </c>
      <c r="C109" s="88">
        <f>C92*UF_Assumptions_1!$I7</f>
        <v>24532.570820346031</v>
      </c>
      <c r="D109" s="88">
        <f>D92*UF_Assumptions_1!$I7</f>
        <v>25616.578946102913</v>
      </c>
      <c r="E109" s="88">
        <f>E92*UF_Assumptions_1!$I7</f>
        <v>26755.646486343154</v>
      </c>
      <c r="F109" s="88">
        <f>F92*UF_Assumptions_1!$I7</f>
        <v>27951.344822146399</v>
      </c>
      <c r="G109" s="88">
        <f>G92*UF_Assumptions_1!$I7</f>
        <v>29162.516489888403</v>
      </c>
      <c r="H109" s="88">
        <f>H92*UF_Assumptions_1!$I7</f>
        <v>30425.744727231224</v>
      </c>
      <c r="I109" s="88">
        <f>I92*UF_Assumptions_1!$I7</f>
        <v>31750.723061666256</v>
      </c>
      <c r="J109" s="88">
        <f>J92*UF_Assumptions_1!$I7</f>
        <v>33133.394024053894</v>
      </c>
      <c r="K109" s="88">
        <f>K92*UF_Assumptions_1!$I7</f>
        <v>34576.268910853752</v>
      </c>
    </row>
    <row r="110" spans="1:16">
      <c r="A110" t="s">
        <v>8</v>
      </c>
      <c r="B110" s="88">
        <f>B93*UF_Assumptions_1!$I8</f>
        <v>27504.113438370092</v>
      </c>
      <c r="C110" s="88">
        <f>C93*UF_Assumptions_1!$I8</f>
        <v>29081.629591702836</v>
      </c>
      <c r="D110" s="88">
        <f>D93*UF_Assumptions_1!$I8</f>
        <v>30628.426063836818</v>
      </c>
      <c r="E110" s="88">
        <f>E93*UF_Assumptions_1!$I8</f>
        <v>32388.697819831017</v>
      </c>
      <c r="F110" s="88">
        <f>F93*UF_Assumptions_1!$I8</f>
        <v>34257.465977786131</v>
      </c>
      <c r="G110" s="88">
        <f>G93*UF_Assumptions_1!$I8</f>
        <v>36221.647800813713</v>
      </c>
      <c r="H110" s="88">
        <f>H93*UF_Assumptions_1!$I8</f>
        <v>38261.679809782887</v>
      </c>
      <c r="I110" s="88">
        <f>I93*UF_Assumptions_1!$I8</f>
        <v>40438.157594547054</v>
      </c>
      <c r="J110" s="88">
        <f>J93*UF_Assumptions_1!$I8</f>
        <v>42738.432564995448</v>
      </c>
      <c r="K110" s="88">
        <f>K93*UF_Assumptions_1!$I8</f>
        <v>45169.545121352719</v>
      </c>
    </row>
    <row r="111" spans="1:16">
      <c r="A111" t="s">
        <v>9</v>
      </c>
      <c r="B111" s="88">
        <f>B94*UF_Assumptions_1!$I9</f>
        <v>19654.145846655058</v>
      </c>
      <c r="C111" s="88">
        <f>C94*UF_Assumptions_1!$I9</f>
        <v>21076.333431235449</v>
      </c>
      <c r="D111" s="88">
        <f>D94*UF_Assumptions_1!$I9</f>
        <v>22555.705122322222</v>
      </c>
      <c r="E111" s="88">
        <f>E94*UF_Assumptions_1!$I9</f>
        <v>24167.943648903271</v>
      </c>
      <c r="F111" s="88">
        <f>F94*UF_Assumptions_1!$I9</f>
        <v>25876.780233451569</v>
      </c>
      <c r="G111" s="88">
        <f>G94*UF_Assumptions_1!$I9</f>
        <v>27748.723141399259</v>
      </c>
      <c r="H111" s="88">
        <f>H94*UF_Assumptions_1!$I9</f>
        <v>29755.667739431468</v>
      </c>
      <c r="I111" s="88">
        <f>I94*UF_Assumptions_1!$I9</f>
        <v>31884.795672540746</v>
      </c>
      <c r="J111" s="88">
        <f>J94*UF_Assumptions_1!$I9</f>
        <v>34166.262899899906</v>
      </c>
      <c r="K111" s="88">
        <f>K94*UF_Assumptions_1!$I9</f>
        <v>36610.968285876872</v>
      </c>
    </row>
    <row r="112" spans="1:16">
      <c r="A112" t="s">
        <v>10</v>
      </c>
      <c r="B112" s="88">
        <f>B95*UF_Assumptions_1!$I10</f>
        <v>17757.579038677741</v>
      </c>
      <c r="C112" s="88">
        <f>C95*UF_Assumptions_1!$I10</f>
        <v>18616.204444899169</v>
      </c>
      <c r="D112" s="88">
        <f>D95*UF_Assumptions_1!$I10</f>
        <v>19457.408653536819</v>
      </c>
      <c r="E112" s="88">
        <f>E95*UF_Assumptions_1!$I10</f>
        <v>20342.06844363112</v>
      </c>
      <c r="F112" s="88">
        <f>F95*UF_Assumptions_1!$I10</f>
        <v>21312.213248327851</v>
      </c>
      <c r="G112" s="88">
        <f>G95*UF_Assumptions_1!$I10</f>
        <v>22363.615781507619</v>
      </c>
      <c r="H112" s="88">
        <f>H95*UF_Assumptions_1!$I10</f>
        <v>23533.670768812877</v>
      </c>
      <c r="I112" s="88">
        <f>I95*UF_Assumptions_1!$I10</f>
        <v>24699.744587016823</v>
      </c>
      <c r="J112" s="88">
        <f>J95*UF_Assumptions_1!$I10</f>
        <v>25923.590571008142</v>
      </c>
      <c r="K112" s="88">
        <f>K95*UF_Assumptions_1!$I10</f>
        <v>27208.070352332947</v>
      </c>
    </row>
    <row r="113" spans="1:16">
      <c r="A113" t="s">
        <v>18</v>
      </c>
      <c r="B113" s="88">
        <f>B96*UF_Assumptions_1!$I11</f>
        <v>28377.247329406087</v>
      </c>
      <c r="C113" s="88">
        <f>C96*UF_Assumptions_1!$I11</f>
        <v>30033.229435122696</v>
      </c>
      <c r="D113" s="88">
        <f>D96*UF_Assumptions_1!$I11</f>
        <v>31810.871255140522</v>
      </c>
      <c r="E113" s="88">
        <f>E96*UF_Assumptions_1!$I11</f>
        <v>33670.925373715036</v>
      </c>
      <c r="F113" s="88">
        <f>F96*UF_Assumptions_1!$I11</f>
        <v>35714.755193665544</v>
      </c>
      <c r="G113" s="88">
        <f>G96*UF_Assumptions_1!$I11</f>
        <v>37869.670282661908</v>
      </c>
      <c r="H113" s="88">
        <f>H96*UF_Assumptions_1!$I11</f>
        <v>40116.163751754793</v>
      </c>
      <c r="I113" s="88">
        <f>I96*UF_Assumptions_1!$I11</f>
        <v>42518.505265481945</v>
      </c>
      <c r="J113" s="88">
        <f>J96*UF_Assumptions_1!$I11</f>
        <v>45064.699984027604</v>
      </c>
      <c r="K113" s="88">
        <f>K96*UF_Assumptions_1!$I11</f>
        <v>47763.36066884255</v>
      </c>
    </row>
    <row r="114" spans="1:16">
      <c r="A114" t="s">
        <v>16</v>
      </c>
      <c r="B114" s="88">
        <f>B97*UF_Assumptions_1!$I12</f>
        <v>9782.1964709051808</v>
      </c>
      <c r="C114" s="88">
        <f>C97*UF_Assumptions_1!$I12</f>
        <v>10235.620288041428</v>
      </c>
      <c r="D114" s="88">
        <f>D97*UF_Assumptions_1!$I12</f>
        <v>10718.608738513452</v>
      </c>
      <c r="E114" s="88">
        <f>E97*UF_Assumptions_1!$I12</f>
        <v>11227.392884844547</v>
      </c>
      <c r="F114" s="88">
        <f>F97*UF_Assumptions_1!$I12</f>
        <v>11762.844670768076</v>
      </c>
      <c r="G114" s="88">
        <f>G97*UF_Assumptions_1!$I12</f>
        <v>12331.378432521382</v>
      </c>
      <c r="H114" s="88">
        <f>H97*UF_Assumptions_1!$I12</f>
        <v>12927.210476218879</v>
      </c>
      <c r="I114" s="88">
        <f>I97*UF_Assumptions_1!$I12</f>
        <v>13546.193223849727</v>
      </c>
      <c r="J114" s="88">
        <f>J97*UF_Assumptions_1!$I12</f>
        <v>14194.81101374695</v>
      </c>
      <c r="K114" s="88">
        <f>K97*UF_Assumptions_1!$I12</f>
        <v>14874.482336746029</v>
      </c>
    </row>
    <row r="115" spans="1:16">
      <c r="A115" t="s">
        <v>11</v>
      </c>
      <c r="B115" s="88">
        <f>B98*UF_Assumptions_1!$I13</f>
        <v>5891.3022225153381</v>
      </c>
      <c r="C115" s="88">
        <f>C98*UF_Assumptions_1!$I13</f>
        <v>6240.9882274667398</v>
      </c>
      <c r="D115" s="88">
        <f>D98*UF_Assumptions_1!$I13</f>
        <v>6610.3871192958541</v>
      </c>
      <c r="E115" s="88">
        <f>E98*UF_Assumptions_1!$I13</f>
        <v>7003.5248528498805</v>
      </c>
      <c r="F115" s="88">
        <f>F98*UF_Assumptions_1!$I13</f>
        <v>7421.6316278308886</v>
      </c>
      <c r="G115" s="88">
        <f>G98*UF_Assumptions_1!$I13</f>
        <v>7876.853338726256</v>
      </c>
      <c r="H115" s="88">
        <f>H98*UF_Assumptions_1!$I13</f>
        <v>8320.4839827356718</v>
      </c>
      <c r="I115" s="88">
        <f>I98*UF_Assumptions_1!$I13</f>
        <v>8810.4308693321072</v>
      </c>
      <c r="J115" s="88">
        <f>J98*UF_Assumptions_1!$I13</f>
        <v>9329.2258996542423</v>
      </c>
      <c r="K115" s="88">
        <f>K98*UF_Assumptions_1!$I13</f>
        <v>9878.5674045791548</v>
      </c>
    </row>
    <row r="116" spans="1:16">
      <c r="A116" t="s">
        <v>13</v>
      </c>
      <c r="B116" s="88">
        <f>B99</f>
        <v>13015.934321462773</v>
      </c>
      <c r="C116" s="88">
        <f t="shared" ref="C116:K117" si="23">C99</f>
        <v>13476.024721270978</v>
      </c>
      <c r="D116" s="88">
        <f t="shared" si="23"/>
        <v>13923.220163679234</v>
      </c>
      <c r="E116" s="88">
        <f t="shared" si="23"/>
        <v>14458.753862211928</v>
      </c>
      <c r="F116" s="88">
        <f t="shared" si="23"/>
        <v>15047.036138730071</v>
      </c>
      <c r="G116" s="88">
        <f t="shared" si="23"/>
        <v>15608.734786912868</v>
      </c>
      <c r="H116" s="88">
        <f t="shared" si="23"/>
        <v>16159.948137089295</v>
      </c>
      <c r="I116" s="88">
        <f t="shared" si="23"/>
        <v>16766.700865673727</v>
      </c>
      <c r="J116" s="88">
        <f t="shared" si="23"/>
        <v>17396.231249972214</v>
      </c>
      <c r="K116" s="88">
        <f t="shared" si="23"/>
        <v>18049.393987394586</v>
      </c>
    </row>
    <row r="117" spans="1:16">
      <c r="A117" s="6" t="s">
        <v>71</v>
      </c>
      <c r="B117" s="88">
        <f>B100</f>
        <v>28791.565066927964</v>
      </c>
      <c r="C117" s="88">
        <f t="shared" si="23"/>
        <v>30298.917575967578</v>
      </c>
      <c r="D117" s="88">
        <f t="shared" si="23"/>
        <v>31880.154947029732</v>
      </c>
      <c r="E117" s="88">
        <f t="shared" si="23"/>
        <v>33584.788311616554</v>
      </c>
      <c r="F117" s="88">
        <f t="shared" si="23"/>
        <v>35388.140800757341</v>
      </c>
      <c r="G117" s="88">
        <f t="shared" si="23"/>
        <v>37275.55331184082</v>
      </c>
      <c r="H117" s="88">
        <f t="shared" si="23"/>
        <v>39225.794609276592</v>
      </c>
      <c r="I117" s="88">
        <f t="shared" si="23"/>
        <v>41300.179658613044</v>
      </c>
      <c r="J117" s="88">
        <f t="shared" si="23"/>
        <v>43484.255035020928</v>
      </c>
      <c r="K117" s="88">
        <f t="shared" si="23"/>
        <v>45783.819883571348</v>
      </c>
    </row>
    <row r="118" spans="1:16">
      <c r="A118" s="6" t="s">
        <v>166</v>
      </c>
      <c r="B118" s="285">
        <f>B101*(SUM(B106:B115)/SUM(B89:B98))</f>
        <v>39219.526231562893</v>
      </c>
      <c r="C118" s="285">
        <f t="shared" ref="C118:K118" si="24">C101*(SUM(C106:C115)/SUM(C89:C98))</f>
        <v>41483.016471281851</v>
      </c>
      <c r="D118" s="285">
        <f t="shared" si="24"/>
        <v>43793.479670398396</v>
      </c>
      <c r="E118" s="285">
        <f t="shared" si="24"/>
        <v>46266.427447778304</v>
      </c>
      <c r="F118" s="285">
        <f t="shared" si="24"/>
        <v>48916.659231549886</v>
      </c>
      <c r="G118" s="285">
        <f t="shared" si="24"/>
        <v>51739.667518214919</v>
      </c>
      <c r="H118" s="285">
        <f t="shared" si="24"/>
        <v>54642.670974038178</v>
      </c>
      <c r="I118" s="285">
        <f t="shared" si="24"/>
        <v>57748.776363309858</v>
      </c>
      <c r="J118" s="285">
        <f t="shared" si="24"/>
        <v>61032.726561997115</v>
      </c>
      <c r="K118" s="285">
        <f t="shared" si="24"/>
        <v>64504.783383407696</v>
      </c>
      <c r="L118" s="299"/>
      <c r="M118" s="299"/>
      <c r="N118" s="261">
        <f>K118/(SUM(K106:K115)+K118)</f>
        <v>8.4731803434529504E-2</v>
      </c>
    </row>
    <row r="119" spans="1:16">
      <c r="A119" s="212" t="s">
        <v>218</v>
      </c>
      <c r="B119" s="88">
        <f t="shared" ref="B119:K120" si="25">B136</f>
        <v>0</v>
      </c>
      <c r="C119" s="88">
        <f t="shared" si="25"/>
        <v>0</v>
      </c>
      <c r="D119" s="88">
        <f t="shared" si="25"/>
        <v>0</v>
      </c>
      <c r="E119" s="88">
        <f t="shared" si="25"/>
        <v>0</v>
      </c>
      <c r="F119" s="88">
        <f t="shared" si="25"/>
        <v>0</v>
      </c>
      <c r="G119" s="88">
        <f t="shared" si="25"/>
        <v>0</v>
      </c>
      <c r="H119" s="88">
        <f t="shared" si="25"/>
        <v>0</v>
      </c>
      <c r="I119" s="88">
        <f t="shared" si="25"/>
        <v>0</v>
      </c>
      <c r="J119" s="88">
        <f t="shared" si="25"/>
        <v>0</v>
      </c>
      <c r="K119" s="88">
        <f t="shared" si="25"/>
        <v>0</v>
      </c>
    </row>
    <row r="120" spans="1:16">
      <c r="A120" s="211" t="s">
        <v>276</v>
      </c>
      <c r="B120" s="88">
        <f t="shared" si="25"/>
        <v>0</v>
      </c>
      <c r="C120" s="88">
        <f t="shared" si="25"/>
        <v>0</v>
      </c>
      <c r="D120" s="88">
        <f t="shared" si="25"/>
        <v>0</v>
      </c>
      <c r="E120" s="88">
        <f t="shared" si="25"/>
        <v>0</v>
      </c>
      <c r="F120" s="88">
        <f t="shared" si="25"/>
        <v>0</v>
      </c>
      <c r="G120" s="88">
        <f t="shared" si="25"/>
        <v>0</v>
      </c>
      <c r="H120" s="88">
        <f t="shared" si="25"/>
        <v>0</v>
      </c>
      <c r="I120" s="88">
        <f t="shared" si="25"/>
        <v>0</v>
      </c>
      <c r="J120" s="88">
        <f t="shared" si="25"/>
        <v>0</v>
      </c>
      <c r="K120" s="88">
        <f t="shared" si="25"/>
        <v>0</v>
      </c>
    </row>
    <row r="121" spans="1:16">
      <c r="A121" s="6" t="s">
        <v>98</v>
      </c>
      <c r="B121" s="88">
        <f>SUM(B106:B120)</f>
        <v>502079.73726871132</v>
      </c>
      <c r="C121" s="88">
        <f t="shared" ref="C121:K121" si="26">SUM(C106:C120)</f>
        <v>530280.38724871469</v>
      </c>
      <c r="D121" s="88">
        <f t="shared" si="26"/>
        <v>559549.17843273736</v>
      </c>
      <c r="E121" s="88">
        <f t="shared" si="26"/>
        <v>591574.78424154746</v>
      </c>
      <c r="F121" s="88">
        <f t="shared" si="26"/>
        <v>625884.0202232427</v>
      </c>
      <c r="G121" s="88">
        <f t="shared" si="26"/>
        <v>661425.36933694128</v>
      </c>
      <c r="H121" s="88">
        <f t="shared" si="26"/>
        <v>698781.33369001944</v>
      </c>
      <c r="I121" s="88">
        <f t="shared" si="26"/>
        <v>738558.34030919161</v>
      </c>
      <c r="J121" s="88">
        <f t="shared" si="26"/>
        <v>780625.19745456171</v>
      </c>
      <c r="K121" s="88">
        <f t="shared" si="26"/>
        <v>825115.05573863257</v>
      </c>
      <c r="L121" s="56">
        <f>(B121-B104)/$B$19</f>
        <v>-4.0875952050621507E-2</v>
      </c>
      <c r="M121" s="56">
        <f>(K121-K104)/$K$19</f>
        <v>-4.1012427087480818E-2</v>
      </c>
      <c r="P121" s="269"/>
    </row>
    <row r="122" spans="1:16">
      <c r="A122" s="210" t="s">
        <v>315</v>
      </c>
      <c r="B122" s="285"/>
      <c r="C122" s="285"/>
      <c r="D122" s="285"/>
      <c r="E122" s="285"/>
      <c r="F122" s="285"/>
      <c r="G122" s="285"/>
      <c r="H122" s="285"/>
      <c r="I122" s="285"/>
      <c r="J122" s="285"/>
      <c r="K122" s="285"/>
      <c r="L122" s="299"/>
    </row>
    <row r="123" spans="1:16">
      <c r="A123" s="6" t="s">
        <v>4</v>
      </c>
      <c r="B123" s="285">
        <f>B106</f>
        <v>158762.07942392307</v>
      </c>
      <c r="C123" s="285">
        <f t="shared" ref="C123:K123" si="27">C106</f>
        <v>168185.61181025262</v>
      </c>
      <c r="D123" s="285">
        <f t="shared" si="27"/>
        <v>177972.16234991711</v>
      </c>
      <c r="E123" s="285">
        <f t="shared" si="27"/>
        <v>188734.70337924839</v>
      </c>
      <c r="F123" s="285">
        <f t="shared" si="27"/>
        <v>200757.50402984917</v>
      </c>
      <c r="G123" s="285">
        <f t="shared" si="27"/>
        <v>212669.75399153438</v>
      </c>
      <c r="H123" s="285">
        <f t="shared" si="27"/>
        <v>225285.68673796515</v>
      </c>
      <c r="I123" s="285">
        <f t="shared" si="27"/>
        <v>238927.05746744308</v>
      </c>
      <c r="J123" s="285">
        <f t="shared" si="27"/>
        <v>253394.37580512711</v>
      </c>
      <c r="K123" s="285">
        <f t="shared" si="27"/>
        <v>268737.64366960787</v>
      </c>
      <c r="L123" s="299"/>
    </row>
    <row r="124" spans="1:16">
      <c r="A124" s="6" t="s">
        <v>5</v>
      </c>
      <c r="B124" s="285">
        <f t="shared" ref="B124:K134" si="28">B107</f>
        <v>115850.48024547379</v>
      </c>
      <c r="C124" s="285">
        <f t="shared" si="28"/>
        <v>122263.38028844798</v>
      </c>
      <c r="D124" s="285">
        <f t="shared" si="28"/>
        <v>129010.90699157723</v>
      </c>
      <c r="E124" s="285">
        <f t="shared" si="28"/>
        <v>136554.46865532571</v>
      </c>
      <c r="F124" s="285">
        <f t="shared" si="28"/>
        <v>144160.12044048726</v>
      </c>
      <c r="G124" s="285">
        <f t="shared" si="28"/>
        <v>152281.46130788699</v>
      </c>
      <c r="H124" s="285">
        <f t="shared" si="28"/>
        <v>160858.07430873759</v>
      </c>
      <c r="I124" s="285">
        <f t="shared" si="28"/>
        <v>169847.43548842263</v>
      </c>
      <c r="J124" s="285">
        <f t="shared" si="28"/>
        <v>179339.11609235071</v>
      </c>
      <c r="K124" s="285">
        <f t="shared" si="28"/>
        <v>189361.18067369462</v>
      </c>
      <c r="L124" s="299"/>
    </row>
    <row r="125" spans="1:16">
      <c r="A125" s="6" t="s">
        <v>6</v>
      </c>
      <c r="B125" s="285">
        <f t="shared" si="28"/>
        <v>13982.840409052773</v>
      </c>
      <c r="C125" s="285">
        <f t="shared" si="28"/>
        <v>14756.860142679378</v>
      </c>
      <c r="D125" s="285">
        <f t="shared" si="28"/>
        <v>15571.268411387133</v>
      </c>
      <c r="E125" s="285">
        <f t="shared" si="28"/>
        <v>16419.443075248491</v>
      </c>
      <c r="F125" s="285">
        <f t="shared" si="28"/>
        <v>17317.523807892412</v>
      </c>
      <c r="G125" s="285">
        <f t="shared" si="28"/>
        <v>18275.793153032711</v>
      </c>
      <c r="H125" s="285">
        <f t="shared" si="28"/>
        <v>19268.537666944885</v>
      </c>
      <c r="I125" s="285">
        <f t="shared" si="28"/>
        <v>20319.64019129458</v>
      </c>
      <c r="J125" s="285">
        <f t="shared" si="28"/>
        <v>21428.07575270742</v>
      </c>
      <c r="K125" s="285">
        <f t="shared" si="28"/>
        <v>22596.971060372201</v>
      </c>
      <c r="L125" s="299"/>
    </row>
    <row r="126" spans="1:16">
      <c r="A126" s="6" t="s">
        <v>7</v>
      </c>
      <c r="B126" s="285">
        <f t="shared" si="28"/>
        <v>23490.727223778569</v>
      </c>
      <c r="C126" s="285">
        <f t="shared" si="28"/>
        <v>24532.570820346031</v>
      </c>
      <c r="D126" s="285">
        <f t="shared" si="28"/>
        <v>25616.578946102913</v>
      </c>
      <c r="E126" s="285">
        <f t="shared" si="28"/>
        <v>26755.646486343154</v>
      </c>
      <c r="F126" s="285">
        <f t="shared" si="28"/>
        <v>27951.344822146399</v>
      </c>
      <c r="G126" s="285">
        <f t="shared" si="28"/>
        <v>29162.516489888403</v>
      </c>
      <c r="H126" s="285">
        <f t="shared" si="28"/>
        <v>30425.744727231224</v>
      </c>
      <c r="I126" s="285">
        <f t="shared" si="28"/>
        <v>31750.723061666256</v>
      </c>
      <c r="J126" s="285">
        <f t="shared" si="28"/>
        <v>33133.394024053894</v>
      </c>
      <c r="K126" s="285">
        <f t="shared" si="28"/>
        <v>34576.268910853752</v>
      </c>
      <c r="L126" s="299"/>
    </row>
    <row r="127" spans="1:16">
      <c r="A127" s="6" t="s">
        <v>8</v>
      </c>
      <c r="B127" s="285">
        <f t="shared" si="28"/>
        <v>27504.113438370092</v>
      </c>
      <c r="C127" s="285">
        <f t="shared" si="28"/>
        <v>29081.629591702836</v>
      </c>
      <c r="D127" s="285">
        <f t="shared" si="28"/>
        <v>30628.426063836818</v>
      </c>
      <c r="E127" s="285">
        <f t="shared" si="28"/>
        <v>32388.697819831017</v>
      </c>
      <c r="F127" s="285">
        <f t="shared" si="28"/>
        <v>34257.465977786131</v>
      </c>
      <c r="G127" s="285">
        <f t="shared" si="28"/>
        <v>36221.647800813713</v>
      </c>
      <c r="H127" s="285">
        <f t="shared" si="28"/>
        <v>38261.679809782887</v>
      </c>
      <c r="I127" s="285">
        <f t="shared" si="28"/>
        <v>40438.157594547054</v>
      </c>
      <c r="J127" s="285">
        <f t="shared" si="28"/>
        <v>42738.432564995448</v>
      </c>
      <c r="K127" s="285">
        <f t="shared" si="28"/>
        <v>45169.545121352719</v>
      </c>
      <c r="L127" s="299"/>
    </row>
    <row r="128" spans="1:16">
      <c r="A128" s="6" t="s">
        <v>9</v>
      </c>
      <c r="B128" s="285">
        <f t="shared" si="28"/>
        <v>19654.145846655058</v>
      </c>
      <c r="C128" s="285">
        <f t="shared" si="28"/>
        <v>21076.333431235449</v>
      </c>
      <c r="D128" s="285">
        <f t="shared" si="28"/>
        <v>22555.705122322222</v>
      </c>
      <c r="E128" s="285">
        <f t="shared" si="28"/>
        <v>24167.943648903271</v>
      </c>
      <c r="F128" s="285">
        <f t="shared" si="28"/>
        <v>25876.780233451569</v>
      </c>
      <c r="G128" s="285">
        <f t="shared" si="28"/>
        <v>27748.723141399259</v>
      </c>
      <c r="H128" s="285">
        <f t="shared" si="28"/>
        <v>29755.667739431468</v>
      </c>
      <c r="I128" s="285">
        <f t="shared" si="28"/>
        <v>31884.795672540746</v>
      </c>
      <c r="J128" s="285">
        <f t="shared" si="28"/>
        <v>34166.262899899906</v>
      </c>
      <c r="K128" s="285">
        <f t="shared" si="28"/>
        <v>36610.968285876872</v>
      </c>
      <c r="L128" s="299"/>
    </row>
    <row r="129" spans="1:16">
      <c r="A129" s="6" t="s">
        <v>10</v>
      </c>
      <c r="B129" s="285">
        <f t="shared" si="28"/>
        <v>17757.579038677741</v>
      </c>
      <c r="C129" s="285">
        <f t="shared" si="28"/>
        <v>18616.204444899169</v>
      </c>
      <c r="D129" s="285">
        <f t="shared" si="28"/>
        <v>19457.408653536819</v>
      </c>
      <c r="E129" s="285">
        <f t="shared" si="28"/>
        <v>20342.06844363112</v>
      </c>
      <c r="F129" s="285">
        <f t="shared" si="28"/>
        <v>21312.213248327851</v>
      </c>
      <c r="G129" s="285">
        <f t="shared" si="28"/>
        <v>22363.615781507619</v>
      </c>
      <c r="H129" s="285">
        <f t="shared" si="28"/>
        <v>23533.670768812877</v>
      </c>
      <c r="I129" s="285">
        <f t="shared" si="28"/>
        <v>24699.744587016823</v>
      </c>
      <c r="J129" s="285">
        <f t="shared" si="28"/>
        <v>25923.590571008142</v>
      </c>
      <c r="K129" s="285">
        <f t="shared" si="28"/>
        <v>27208.070352332947</v>
      </c>
      <c r="L129" s="299"/>
    </row>
    <row r="130" spans="1:16">
      <c r="A130" s="6" t="s">
        <v>18</v>
      </c>
      <c r="B130" s="285">
        <f t="shared" si="28"/>
        <v>28377.247329406087</v>
      </c>
      <c r="C130" s="285">
        <f t="shared" si="28"/>
        <v>30033.229435122696</v>
      </c>
      <c r="D130" s="285">
        <f t="shared" si="28"/>
        <v>31810.871255140522</v>
      </c>
      <c r="E130" s="285">
        <f t="shared" si="28"/>
        <v>33670.925373715036</v>
      </c>
      <c r="F130" s="285">
        <f t="shared" si="28"/>
        <v>35714.755193665544</v>
      </c>
      <c r="G130" s="285">
        <f t="shared" si="28"/>
        <v>37869.670282661908</v>
      </c>
      <c r="H130" s="285">
        <f t="shared" si="28"/>
        <v>40116.163751754793</v>
      </c>
      <c r="I130" s="285">
        <f t="shared" si="28"/>
        <v>42518.505265481945</v>
      </c>
      <c r="J130" s="285">
        <f t="shared" si="28"/>
        <v>45064.699984027604</v>
      </c>
      <c r="K130" s="285">
        <f t="shared" si="28"/>
        <v>47763.36066884255</v>
      </c>
      <c r="L130" s="299"/>
    </row>
    <row r="131" spans="1:16">
      <c r="A131" s="6" t="s">
        <v>16</v>
      </c>
      <c r="B131" s="285">
        <f t="shared" si="28"/>
        <v>9782.1964709051808</v>
      </c>
      <c r="C131" s="285">
        <f t="shared" si="28"/>
        <v>10235.620288041428</v>
      </c>
      <c r="D131" s="285">
        <f t="shared" si="28"/>
        <v>10718.608738513452</v>
      </c>
      <c r="E131" s="285">
        <f t="shared" si="28"/>
        <v>11227.392884844547</v>
      </c>
      <c r="F131" s="285">
        <f t="shared" si="28"/>
        <v>11762.844670768076</v>
      </c>
      <c r="G131" s="285">
        <f t="shared" si="28"/>
        <v>12331.378432521382</v>
      </c>
      <c r="H131" s="285">
        <f t="shared" si="28"/>
        <v>12927.210476218879</v>
      </c>
      <c r="I131" s="285">
        <f t="shared" si="28"/>
        <v>13546.193223849727</v>
      </c>
      <c r="J131" s="285">
        <f t="shared" si="28"/>
        <v>14194.81101374695</v>
      </c>
      <c r="K131" s="285">
        <f t="shared" si="28"/>
        <v>14874.482336746029</v>
      </c>
      <c r="L131" s="299"/>
    </row>
    <row r="132" spans="1:16">
      <c r="A132" s="6" t="s">
        <v>11</v>
      </c>
      <c r="B132" s="285">
        <f t="shared" si="28"/>
        <v>5891.3022225153381</v>
      </c>
      <c r="C132" s="285">
        <f t="shared" si="28"/>
        <v>6240.9882274667398</v>
      </c>
      <c r="D132" s="285">
        <f t="shared" si="28"/>
        <v>6610.3871192958541</v>
      </c>
      <c r="E132" s="285">
        <f t="shared" si="28"/>
        <v>7003.5248528498805</v>
      </c>
      <c r="F132" s="285">
        <f t="shared" si="28"/>
        <v>7421.6316278308886</v>
      </c>
      <c r="G132" s="285">
        <f t="shared" si="28"/>
        <v>7876.853338726256</v>
      </c>
      <c r="H132" s="285">
        <f t="shared" si="28"/>
        <v>8320.4839827356718</v>
      </c>
      <c r="I132" s="285">
        <f t="shared" si="28"/>
        <v>8810.4308693321072</v>
      </c>
      <c r="J132" s="285">
        <f t="shared" si="28"/>
        <v>9329.2258996542423</v>
      </c>
      <c r="K132" s="285">
        <f t="shared" si="28"/>
        <v>9878.5674045791548</v>
      </c>
      <c r="L132" s="299"/>
    </row>
    <row r="133" spans="1:16">
      <c r="A133" s="6" t="s">
        <v>13</v>
      </c>
      <c r="B133" s="285">
        <f>B116</f>
        <v>13015.934321462773</v>
      </c>
      <c r="C133" s="285">
        <f t="shared" si="28"/>
        <v>13476.024721270978</v>
      </c>
      <c r="D133" s="285">
        <f t="shared" si="28"/>
        <v>13923.220163679234</v>
      </c>
      <c r="E133" s="285">
        <f t="shared" si="28"/>
        <v>14458.753862211928</v>
      </c>
      <c r="F133" s="285">
        <f t="shared" si="28"/>
        <v>15047.036138730071</v>
      </c>
      <c r="G133" s="285">
        <f t="shared" si="28"/>
        <v>15608.734786912868</v>
      </c>
      <c r="H133" s="285">
        <f t="shared" si="28"/>
        <v>16159.948137089295</v>
      </c>
      <c r="I133" s="285">
        <f t="shared" si="28"/>
        <v>16766.700865673727</v>
      </c>
      <c r="J133" s="285">
        <f t="shared" si="28"/>
        <v>17396.231249972214</v>
      </c>
      <c r="K133" s="285">
        <f t="shared" si="28"/>
        <v>18049.393987394586</v>
      </c>
      <c r="L133" s="299"/>
    </row>
    <row r="134" spans="1:16">
      <c r="A134" s="6" t="s">
        <v>71</v>
      </c>
      <c r="B134" s="285">
        <f>B117</f>
        <v>28791.565066927964</v>
      </c>
      <c r="C134" s="285">
        <f t="shared" si="28"/>
        <v>30298.917575967578</v>
      </c>
      <c r="D134" s="285">
        <f t="shared" si="28"/>
        <v>31880.154947029732</v>
      </c>
      <c r="E134" s="285">
        <f t="shared" si="28"/>
        <v>33584.788311616554</v>
      </c>
      <c r="F134" s="285">
        <f t="shared" si="28"/>
        <v>35388.140800757341</v>
      </c>
      <c r="G134" s="285">
        <f t="shared" si="28"/>
        <v>37275.55331184082</v>
      </c>
      <c r="H134" s="285">
        <f t="shared" si="28"/>
        <v>39225.794609276592</v>
      </c>
      <c r="I134" s="285">
        <f t="shared" si="28"/>
        <v>41300.179658613044</v>
      </c>
      <c r="J134" s="285">
        <f t="shared" si="28"/>
        <v>43484.255035020928</v>
      </c>
      <c r="K134" s="285">
        <f t="shared" si="28"/>
        <v>45783.819883571348</v>
      </c>
      <c r="L134" s="299"/>
    </row>
    <row r="135" spans="1:16">
      <c r="A135" s="6" t="s">
        <v>166</v>
      </c>
      <c r="B135" s="285">
        <f>SUM(B123:B132)*(UF_Assumptions_1!B$18/(1-UF_Assumptions_1!B$18))</f>
        <v>13022.248813879105</v>
      </c>
      <c r="C135" s="285">
        <f>SUM(C123:C132)*(UF_Assumptions_1!C$18/(1-UF_Assumptions_1!C$18))</f>
        <v>13763.58026227405</v>
      </c>
      <c r="D135" s="285">
        <f>SUM(D123:D132)*(UF_Assumptions_1!D$18/(1-UF_Assumptions_1!D$18))</f>
        <v>14534.607947988557</v>
      </c>
      <c r="E135" s="285">
        <f>SUM(E123:E132)*(UF_Assumptions_1!E$18/(1-UF_Assumptions_1!E$18))</f>
        <v>15379.324163503321</v>
      </c>
      <c r="F135" s="285">
        <f>SUM(F123:F132)*(UF_Assumptions_1!F$18/(1-UF_Assumptions_1!F$18))</f>
        <v>16284.500537697071</v>
      </c>
      <c r="G135" s="285">
        <f>SUM(G123:G132)*(UF_Assumptions_1!G$18/(1-UF_Assumptions_1!G$18))</f>
        <v>17220.662279999153</v>
      </c>
      <c r="H135" s="285">
        <f>SUM(H123:H132)*(UF_Assumptions_1!H$18/(1-UF_Assumptions_1!H$18))</f>
        <v>18208.853194936561</v>
      </c>
      <c r="I135" s="285">
        <f>SUM(I123:I132)*(UF_Assumptions_1!I$18/(1-UF_Assumptions_1!I$18))</f>
        <v>19260.082992420466</v>
      </c>
      <c r="J135" s="285">
        <f>SUM(J123:J132)*(UF_Assumptions_1!J$18/(1-UF_Assumptions_1!J$18))</f>
        <v>20372.535606419737</v>
      </c>
      <c r="K135" s="285">
        <f>SUM(K123:K132)*(UF_Assumptions_1!K$18/(1-UF_Assumptions_1!K$18))</f>
        <v>21549.805932502852</v>
      </c>
      <c r="L135" s="299"/>
      <c r="N135" s="269">
        <f>K135/(SUM(K123:K132)+K135)</f>
        <v>3.0000000000000002E-2</v>
      </c>
    </row>
    <row r="136" spans="1:16">
      <c r="A136" s="212" t="s">
        <v>218</v>
      </c>
      <c r="B136" s="285">
        <f t="shared" ref="B136:K137" si="29">B102</f>
        <v>0</v>
      </c>
      <c r="C136" s="285">
        <f t="shared" si="29"/>
        <v>0</v>
      </c>
      <c r="D136" s="285">
        <f t="shared" si="29"/>
        <v>0</v>
      </c>
      <c r="E136" s="285">
        <f t="shared" si="29"/>
        <v>0</v>
      </c>
      <c r="F136" s="285">
        <f t="shared" si="29"/>
        <v>0</v>
      </c>
      <c r="G136" s="285">
        <f t="shared" si="29"/>
        <v>0</v>
      </c>
      <c r="H136" s="285">
        <f t="shared" si="29"/>
        <v>0</v>
      </c>
      <c r="I136" s="285">
        <f t="shared" si="29"/>
        <v>0</v>
      </c>
      <c r="J136" s="285">
        <f t="shared" si="29"/>
        <v>0</v>
      </c>
      <c r="K136" s="285">
        <f t="shared" si="29"/>
        <v>0</v>
      </c>
      <c r="L136" s="299"/>
    </row>
    <row r="137" spans="1:16">
      <c r="A137" s="280" t="s">
        <v>276</v>
      </c>
      <c r="B137" s="285">
        <f t="shared" si="29"/>
        <v>0</v>
      </c>
      <c r="C137" s="285">
        <f t="shared" si="29"/>
        <v>0</v>
      </c>
      <c r="D137" s="285">
        <f t="shared" si="29"/>
        <v>0</v>
      </c>
      <c r="E137" s="285">
        <f t="shared" si="29"/>
        <v>0</v>
      </c>
      <c r="F137" s="285">
        <f t="shared" si="29"/>
        <v>0</v>
      </c>
      <c r="G137" s="285">
        <f t="shared" si="29"/>
        <v>0</v>
      </c>
      <c r="H137" s="285">
        <f t="shared" si="29"/>
        <v>0</v>
      </c>
      <c r="I137" s="285">
        <f t="shared" si="29"/>
        <v>0</v>
      </c>
      <c r="J137" s="285">
        <f t="shared" si="29"/>
        <v>0</v>
      </c>
      <c r="K137" s="285">
        <f t="shared" si="29"/>
        <v>0</v>
      </c>
      <c r="L137" s="299"/>
    </row>
    <row r="138" spans="1:16">
      <c r="A138" s="6" t="s">
        <v>98</v>
      </c>
      <c r="B138" s="285">
        <f>SUM(B123:B137)</f>
        <v>475882.45985102752</v>
      </c>
      <c r="C138" s="285">
        <f t="shared" ref="C138:K138" si="30">SUM(C123:C137)</f>
        <v>502560.95103970688</v>
      </c>
      <c r="D138" s="285">
        <f t="shared" si="30"/>
        <v>530290.30671032751</v>
      </c>
      <c r="E138" s="285">
        <f t="shared" si="30"/>
        <v>560687.68095727253</v>
      </c>
      <c r="F138" s="285">
        <f t="shared" si="30"/>
        <v>593251.86152938986</v>
      </c>
      <c r="G138" s="285">
        <f t="shared" si="30"/>
        <v>626906.36409872549</v>
      </c>
      <c r="H138" s="285">
        <f t="shared" si="30"/>
        <v>662347.51591091778</v>
      </c>
      <c r="I138" s="285">
        <f t="shared" si="30"/>
        <v>700069.6469383022</v>
      </c>
      <c r="J138" s="285">
        <f t="shared" si="30"/>
        <v>739965.00649898441</v>
      </c>
      <c r="K138" s="285">
        <f t="shared" si="30"/>
        <v>782160.07828772767</v>
      </c>
      <c r="L138" s="56">
        <f>(B138-B121)/$B$19</f>
        <v>-5.067110207749765E-2</v>
      </c>
      <c r="M138" s="56">
        <f>(K138-K121)/$K$19</f>
        <v>-5.0510329273394543E-2</v>
      </c>
      <c r="P138" s="269"/>
    </row>
    <row r="139" spans="1:16">
      <c r="A139" s="210" t="s">
        <v>336</v>
      </c>
    </row>
    <row r="140" spans="1:16">
      <c r="A140" t="s">
        <v>4</v>
      </c>
      <c r="B140" s="88">
        <f>B123</f>
        <v>158762.07942392307</v>
      </c>
      <c r="C140" s="88">
        <f t="shared" ref="C140:K140" si="31">C123</f>
        <v>168185.61181025262</v>
      </c>
      <c r="D140" s="88">
        <f t="shared" si="31"/>
        <v>177972.16234991711</v>
      </c>
      <c r="E140" s="88">
        <f t="shared" si="31"/>
        <v>188734.70337924839</v>
      </c>
      <c r="F140" s="88">
        <f t="shared" si="31"/>
        <v>200757.50402984917</v>
      </c>
      <c r="G140" s="88">
        <f t="shared" si="31"/>
        <v>212669.75399153438</v>
      </c>
      <c r="H140" s="88">
        <f t="shared" si="31"/>
        <v>225285.68673796515</v>
      </c>
      <c r="I140" s="88">
        <f t="shared" si="31"/>
        <v>238927.05746744308</v>
      </c>
      <c r="J140" s="88">
        <f t="shared" si="31"/>
        <v>253394.37580512711</v>
      </c>
      <c r="K140" s="88">
        <f t="shared" si="31"/>
        <v>268737.64366960787</v>
      </c>
    </row>
    <row r="141" spans="1:16">
      <c r="A141" t="s">
        <v>5</v>
      </c>
      <c r="B141" s="88">
        <f t="shared" ref="B141:K152" si="32">B124</f>
        <v>115850.48024547379</v>
      </c>
      <c r="C141" s="88">
        <f t="shared" si="32"/>
        <v>122263.38028844798</v>
      </c>
      <c r="D141" s="88">
        <f t="shared" si="32"/>
        <v>129010.90699157723</v>
      </c>
      <c r="E141" s="88">
        <f t="shared" si="32"/>
        <v>136554.46865532571</v>
      </c>
      <c r="F141" s="88">
        <f t="shared" si="32"/>
        <v>144160.12044048726</v>
      </c>
      <c r="G141" s="88">
        <f t="shared" si="32"/>
        <v>152281.46130788699</v>
      </c>
      <c r="H141" s="88">
        <f t="shared" si="32"/>
        <v>160858.07430873759</v>
      </c>
      <c r="I141" s="88">
        <f t="shared" si="32"/>
        <v>169847.43548842263</v>
      </c>
      <c r="J141" s="88">
        <f t="shared" si="32"/>
        <v>179339.11609235071</v>
      </c>
      <c r="K141" s="88">
        <f t="shared" si="32"/>
        <v>189361.18067369462</v>
      </c>
    </row>
    <row r="142" spans="1:16">
      <c r="A142" t="s">
        <v>6</v>
      </c>
      <c r="B142" s="88">
        <f t="shared" si="32"/>
        <v>13982.840409052773</v>
      </c>
      <c r="C142" s="88">
        <f t="shared" si="32"/>
        <v>14756.860142679378</v>
      </c>
      <c r="D142" s="88">
        <f t="shared" si="32"/>
        <v>15571.268411387133</v>
      </c>
      <c r="E142" s="88">
        <f t="shared" si="32"/>
        <v>16419.443075248491</v>
      </c>
      <c r="F142" s="88">
        <f t="shared" si="32"/>
        <v>17317.523807892412</v>
      </c>
      <c r="G142" s="88">
        <f t="shared" si="32"/>
        <v>18275.793153032711</v>
      </c>
      <c r="H142" s="88">
        <f t="shared" si="32"/>
        <v>19268.537666944885</v>
      </c>
      <c r="I142" s="88">
        <f t="shared" si="32"/>
        <v>20319.64019129458</v>
      </c>
      <c r="J142" s="88">
        <f t="shared" si="32"/>
        <v>21428.07575270742</v>
      </c>
      <c r="K142" s="88">
        <f t="shared" si="32"/>
        <v>22596.971060372201</v>
      </c>
    </row>
    <row r="143" spans="1:16">
      <c r="A143" t="s">
        <v>7</v>
      </c>
      <c r="B143" s="88">
        <f t="shared" si="32"/>
        <v>23490.727223778569</v>
      </c>
      <c r="C143" s="88">
        <f t="shared" si="32"/>
        <v>24532.570820346031</v>
      </c>
      <c r="D143" s="88">
        <f t="shared" si="32"/>
        <v>25616.578946102913</v>
      </c>
      <c r="E143" s="88">
        <f t="shared" si="32"/>
        <v>26755.646486343154</v>
      </c>
      <c r="F143" s="88">
        <f t="shared" si="32"/>
        <v>27951.344822146399</v>
      </c>
      <c r="G143" s="88">
        <f t="shared" si="32"/>
        <v>29162.516489888403</v>
      </c>
      <c r="H143" s="88">
        <f t="shared" si="32"/>
        <v>30425.744727231224</v>
      </c>
      <c r="I143" s="88">
        <f t="shared" si="32"/>
        <v>31750.723061666256</v>
      </c>
      <c r="J143" s="88">
        <f t="shared" si="32"/>
        <v>33133.394024053894</v>
      </c>
      <c r="K143" s="88">
        <f t="shared" si="32"/>
        <v>34576.268910853752</v>
      </c>
    </row>
    <row r="144" spans="1:16">
      <c r="A144" t="s">
        <v>8</v>
      </c>
      <c r="B144" s="88">
        <f t="shared" si="32"/>
        <v>27504.113438370092</v>
      </c>
      <c r="C144" s="88">
        <f t="shared" si="32"/>
        <v>29081.629591702836</v>
      </c>
      <c r="D144" s="88">
        <f t="shared" si="32"/>
        <v>30628.426063836818</v>
      </c>
      <c r="E144" s="88">
        <f t="shared" si="32"/>
        <v>32388.697819831017</v>
      </c>
      <c r="F144" s="88">
        <f t="shared" si="32"/>
        <v>34257.465977786131</v>
      </c>
      <c r="G144" s="88">
        <f t="shared" si="32"/>
        <v>36221.647800813713</v>
      </c>
      <c r="H144" s="88">
        <f t="shared" si="32"/>
        <v>38261.679809782887</v>
      </c>
      <c r="I144" s="88">
        <f t="shared" si="32"/>
        <v>40438.157594547054</v>
      </c>
      <c r="J144" s="88">
        <f t="shared" si="32"/>
        <v>42738.432564995448</v>
      </c>
      <c r="K144" s="88">
        <f t="shared" si="32"/>
        <v>45169.545121352719</v>
      </c>
    </row>
    <row r="145" spans="1:16">
      <c r="A145" t="s">
        <v>9</v>
      </c>
      <c r="B145" s="88">
        <f t="shared" si="32"/>
        <v>19654.145846655058</v>
      </c>
      <c r="C145" s="88">
        <f t="shared" si="32"/>
        <v>21076.333431235449</v>
      </c>
      <c r="D145" s="88">
        <f t="shared" si="32"/>
        <v>22555.705122322222</v>
      </c>
      <c r="E145" s="88">
        <f t="shared" si="32"/>
        <v>24167.943648903271</v>
      </c>
      <c r="F145" s="88">
        <f t="shared" si="32"/>
        <v>25876.780233451569</v>
      </c>
      <c r="G145" s="88">
        <f t="shared" si="32"/>
        <v>27748.723141399259</v>
      </c>
      <c r="H145" s="88">
        <f t="shared" si="32"/>
        <v>29755.667739431468</v>
      </c>
      <c r="I145" s="88">
        <f t="shared" si="32"/>
        <v>31884.795672540746</v>
      </c>
      <c r="J145" s="88">
        <f t="shared" si="32"/>
        <v>34166.262899899906</v>
      </c>
      <c r="K145" s="88">
        <f t="shared" si="32"/>
        <v>36610.968285876872</v>
      </c>
    </row>
    <row r="146" spans="1:16">
      <c r="A146" t="s">
        <v>10</v>
      </c>
      <c r="B146" s="88">
        <f t="shared" si="32"/>
        <v>17757.579038677741</v>
      </c>
      <c r="C146" s="88">
        <f t="shared" si="32"/>
        <v>18616.204444899169</v>
      </c>
      <c r="D146" s="88">
        <f t="shared" si="32"/>
        <v>19457.408653536819</v>
      </c>
      <c r="E146" s="88">
        <f t="shared" si="32"/>
        <v>20342.06844363112</v>
      </c>
      <c r="F146" s="88">
        <f t="shared" si="32"/>
        <v>21312.213248327851</v>
      </c>
      <c r="G146" s="88">
        <f t="shared" si="32"/>
        <v>22363.615781507619</v>
      </c>
      <c r="H146" s="88">
        <f t="shared" si="32"/>
        <v>23533.670768812877</v>
      </c>
      <c r="I146" s="88">
        <f t="shared" si="32"/>
        <v>24699.744587016823</v>
      </c>
      <c r="J146" s="88">
        <f t="shared" si="32"/>
        <v>25923.590571008142</v>
      </c>
      <c r="K146" s="88">
        <f t="shared" si="32"/>
        <v>27208.070352332947</v>
      </c>
    </row>
    <row r="147" spans="1:16">
      <c r="A147" t="s">
        <v>18</v>
      </c>
      <c r="B147" s="88">
        <f t="shared" si="32"/>
        <v>28377.247329406087</v>
      </c>
      <c r="C147" s="88">
        <f t="shared" si="32"/>
        <v>30033.229435122696</v>
      </c>
      <c r="D147" s="88">
        <f t="shared" si="32"/>
        <v>31810.871255140522</v>
      </c>
      <c r="E147" s="88">
        <f t="shared" si="32"/>
        <v>33670.925373715036</v>
      </c>
      <c r="F147" s="88">
        <f t="shared" si="32"/>
        <v>35714.755193665544</v>
      </c>
      <c r="G147" s="88">
        <f t="shared" si="32"/>
        <v>37869.670282661908</v>
      </c>
      <c r="H147" s="88">
        <f t="shared" si="32"/>
        <v>40116.163751754793</v>
      </c>
      <c r="I147" s="88">
        <f t="shared" si="32"/>
        <v>42518.505265481945</v>
      </c>
      <c r="J147" s="88">
        <f t="shared" si="32"/>
        <v>45064.699984027604</v>
      </c>
      <c r="K147" s="88">
        <f t="shared" si="32"/>
        <v>47763.36066884255</v>
      </c>
    </row>
    <row r="148" spans="1:16">
      <c r="A148" t="s">
        <v>16</v>
      </c>
      <c r="B148" s="88">
        <f t="shared" si="32"/>
        <v>9782.1964709051808</v>
      </c>
      <c r="C148" s="88">
        <f t="shared" si="32"/>
        <v>10235.620288041428</v>
      </c>
      <c r="D148" s="88">
        <f t="shared" si="32"/>
        <v>10718.608738513452</v>
      </c>
      <c r="E148" s="88">
        <f t="shared" si="32"/>
        <v>11227.392884844547</v>
      </c>
      <c r="F148" s="88">
        <f t="shared" si="32"/>
        <v>11762.844670768076</v>
      </c>
      <c r="G148" s="88">
        <f t="shared" si="32"/>
        <v>12331.378432521382</v>
      </c>
      <c r="H148" s="88">
        <f t="shared" si="32"/>
        <v>12927.210476218879</v>
      </c>
      <c r="I148" s="88">
        <f t="shared" si="32"/>
        <v>13546.193223849727</v>
      </c>
      <c r="J148" s="88">
        <f t="shared" si="32"/>
        <v>14194.81101374695</v>
      </c>
      <c r="K148" s="88">
        <f t="shared" si="32"/>
        <v>14874.482336746029</v>
      </c>
    </row>
    <row r="149" spans="1:16">
      <c r="A149" t="s">
        <v>11</v>
      </c>
      <c r="B149" s="88">
        <f t="shared" si="32"/>
        <v>5891.3022225153381</v>
      </c>
      <c r="C149" s="88">
        <f t="shared" si="32"/>
        <v>6240.9882274667398</v>
      </c>
      <c r="D149" s="88">
        <f t="shared" si="32"/>
        <v>6610.3871192958541</v>
      </c>
      <c r="E149" s="88">
        <f t="shared" si="32"/>
        <v>7003.5248528498805</v>
      </c>
      <c r="F149" s="88">
        <f t="shared" si="32"/>
        <v>7421.6316278308886</v>
      </c>
      <c r="G149" s="88">
        <f t="shared" si="32"/>
        <v>7876.853338726256</v>
      </c>
      <c r="H149" s="88">
        <f t="shared" si="32"/>
        <v>8320.4839827356718</v>
      </c>
      <c r="I149" s="88">
        <f t="shared" si="32"/>
        <v>8810.4308693321072</v>
      </c>
      <c r="J149" s="88">
        <f t="shared" si="32"/>
        <v>9329.2258996542423</v>
      </c>
      <c r="K149" s="88">
        <f t="shared" si="32"/>
        <v>9878.5674045791548</v>
      </c>
    </row>
    <row r="150" spans="1:16">
      <c r="A150" t="s">
        <v>13</v>
      </c>
      <c r="B150" s="88">
        <f t="shared" si="32"/>
        <v>13015.934321462773</v>
      </c>
      <c r="C150" s="88">
        <f t="shared" si="32"/>
        <v>13476.024721270978</v>
      </c>
      <c r="D150" s="88">
        <f t="shared" si="32"/>
        <v>13923.220163679234</v>
      </c>
      <c r="E150" s="88">
        <f t="shared" si="32"/>
        <v>14458.753862211928</v>
      </c>
      <c r="F150" s="88">
        <f t="shared" si="32"/>
        <v>15047.036138730071</v>
      </c>
      <c r="G150" s="88">
        <f t="shared" si="32"/>
        <v>15608.734786912868</v>
      </c>
      <c r="H150" s="88">
        <f t="shared" si="32"/>
        <v>16159.948137089295</v>
      </c>
      <c r="I150" s="88">
        <f t="shared" si="32"/>
        <v>16766.700865673727</v>
      </c>
      <c r="J150" s="88">
        <f t="shared" si="32"/>
        <v>17396.231249972214</v>
      </c>
      <c r="K150" s="88">
        <f t="shared" si="32"/>
        <v>18049.393987394586</v>
      </c>
    </row>
    <row r="151" spans="1:16">
      <c r="A151" s="6" t="s">
        <v>71</v>
      </c>
      <c r="B151" s="88">
        <f t="shared" si="32"/>
        <v>28791.565066927964</v>
      </c>
      <c r="C151" s="88">
        <f t="shared" si="32"/>
        <v>30298.917575967578</v>
      </c>
      <c r="D151" s="88">
        <f t="shared" si="32"/>
        <v>31880.154947029732</v>
      </c>
      <c r="E151" s="88">
        <f t="shared" si="32"/>
        <v>33584.788311616554</v>
      </c>
      <c r="F151" s="88">
        <f t="shared" si="32"/>
        <v>35388.140800757341</v>
      </c>
      <c r="G151" s="88">
        <f t="shared" si="32"/>
        <v>37275.55331184082</v>
      </c>
      <c r="H151" s="88">
        <f t="shared" si="32"/>
        <v>39225.794609276592</v>
      </c>
      <c r="I151" s="88">
        <f t="shared" si="32"/>
        <v>41300.179658613044</v>
      </c>
      <c r="J151" s="88">
        <f t="shared" si="32"/>
        <v>43484.255035020928</v>
      </c>
      <c r="K151" s="88">
        <f t="shared" si="32"/>
        <v>45783.819883571348</v>
      </c>
    </row>
    <row r="152" spans="1:16">
      <c r="A152" s="6" t="s">
        <v>166</v>
      </c>
      <c r="B152" s="88">
        <f t="shared" si="32"/>
        <v>13022.248813879105</v>
      </c>
      <c r="C152" s="88">
        <f t="shared" si="32"/>
        <v>13763.58026227405</v>
      </c>
      <c r="D152" s="88">
        <f t="shared" si="32"/>
        <v>14534.607947988557</v>
      </c>
      <c r="E152" s="88">
        <f t="shared" si="32"/>
        <v>15379.324163503321</v>
      </c>
      <c r="F152" s="88">
        <f t="shared" si="32"/>
        <v>16284.500537697071</v>
      </c>
      <c r="G152" s="88">
        <f t="shared" si="32"/>
        <v>17220.662279999153</v>
      </c>
      <c r="H152" s="88">
        <f t="shared" si="32"/>
        <v>18208.853194936561</v>
      </c>
      <c r="I152" s="88">
        <f t="shared" si="32"/>
        <v>19260.082992420466</v>
      </c>
      <c r="J152" s="88">
        <f t="shared" si="32"/>
        <v>20372.535606419737</v>
      </c>
      <c r="K152" s="88">
        <f t="shared" si="32"/>
        <v>21549.805932502852</v>
      </c>
      <c r="N152" s="269">
        <f>K152/(SUM(K140:K149)+K152)</f>
        <v>3.0000000000000002E-2</v>
      </c>
    </row>
    <row r="153" spans="1:16">
      <c r="A153" s="212" t="s">
        <v>218</v>
      </c>
      <c r="B153" s="88">
        <f>UF_Calculations_1!B16</f>
        <v>2085.3611888863684</v>
      </c>
      <c r="C153" s="88">
        <f>UF_Calculations_1!C16</f>
        <v>2085.3611888863684</v>
      </c>
      <c r="D153" s="88">
        <f>UF_Calculations_1!D16</f>
        <v>2085.3611888863684</v>
      </c>
      <c r="E153" s="88">
        <f>UF_Calculations_1!E16</f>
        <v>2085.3611888863684</v>
      </c>
      <c r="F153" s="88">
        <f>UF_Calculations_1!F16</f>
        <v>2085.3611888863684</v>
      </c>
      <c r="G153" s="88">
        <f>UF_Calculations_1!G16</f>
        <v>2085.3611888863684</v>
      </c>
      <c r="H153" s="88">
        <f>UF_Calculations_1!H16</f>
        <v>2085.3611888863684</v>
      </c>
      <c r="I153" s="88">
        <f>UF_Calculations_1!I16</f>
        <v>2085.3611888863684</v>
      </c>
      <c r="J153" s="88">
        <f>UF_Calculations_1!J16</f>
        <v>2085.3611888863684</v>
      </c>
      <c r="K153" s="88">
        <f>UF_Calculations_1!K16</f>
        <v>2085.3611888863684</v>
      </c>
    </row>
    <row r="154" spans="1:16">
      <c r="A154" s="211" t="s">
        <v>276</v>
      </c>
      <c r="B154" s="88">
        <f t="shared" ref="B154:K154" si="33">B120</f>
        <v>0</v>
      </c>
      <c r="C154" s="88">
        <f t="shared" si="33"/>
        <v>0</v>
      </c>
      <c r="D154" s="88">
        <f t="shared" si="33"/>
        <v>0</v>
      </c>
      <c r="E154" s="88">
        <f t="shared" si="33"/>
        <v>0</v>
      </c>
      <c r="F154" s="88">
        <f t="shared" si="33"/>
        <v>0</v>
      </c>
      <c r="G154" s="88">
        <f t="shared" si="33"/>
        <v>0</v>
      </c>
      <c r="H154" s="88">
        <f t="shared" si="33"/>
        <v>0</v>
      </c>
      <c r="I154" s="88">
        <f t="shared" si="33"/>
        <v>0</v>
      </c>
      <c r="J154" s="88">
        <f t="shared" si="33"/>
        <v>0</v>
      </c>
      <c r="K154" s="88">
        <f t="shared" si="33"/>
        <v>0</v>
      </c>
    </row>
    <row r="155" spans="1:16">
      <c r="A155" s="6" t="s">
        <v>98</v>
      </c>
      <c r="B155" s="88">
        <f>SUM(B140:B154)</f>
        <v>477967.82103991392</v>
      </c>
      <c r="C155" s="88">
        <f t="shared" ref="C155:K155" si="34">SUM(C140:C154)</f>
        <v>504646.31222859328</v>
      </c>
      <c r="D155" s="88">
        <f t="shared" si="34"/>
        <v>532375.66789921385</v>
      </c>
      <c r="E155" s="88">
        <f t="shared" si="34"/>
        <v>562773.04214615887</v>
      </c>
      <c r="F155" s="88">
        <f t="shared" si="34"/>
        <v>595337.2227182762</v>
      </c>
      <c r="G155" s="88">
        <f t="shared" si="34"/>
        <v>628991.72528761183</v>
      </c>
      <c r="H155" s="88">
        <f t="shared" si="34"/>
        <v>664432.87709980411</v>
      </c>
      <c r="I155" s="88">
        <f t="shared" si="34"/>
        <v>702155.00812718854</v>
      </c>
      <c r="J155" s="88">
        <f t="shared" si="34"/>
        <v>742050.36768787075</v>
      </c>
      <c r="K155" s="88">
        <f t="shared" si="34"/>
        <v>784245.439476614</v>
      </c>
      <c r="L155" s="56">
        <f>(B155-B138)/$B$19</f>
        <v>4.0335317287278965E-3</v>
      </c>
      <c r="M155" s="56">
        <f>(K155-K138)/$K$19</f>
        <v>2.4521554091140019E-3</v>
      </c>
      <c r="P155" s="269"/>
    </row>
    <row r="156" spans="1:16">
      <c r="A156" s="210" t="s">
        <v>276</v>
      </c>
    </row>
    <row r="157" spans="1:16">
      <c r="A157" t="s">
        <v>4</v>
      </c>
      <c r="B157" s="88">
        <f>B140</f>
        <v>158762.07942392307</v>
      </c>
      <c r="C157" s="88">
        <f t="shared" ref="C157:K157" si="35">C140</f>
        <v>168185.61181025262</v>
      </c>
      <c r="D157" s="88">
        <f t="shared" si="35"/>
        <v>177972.16234991711</v>
      </c>
      <c r="E157" s="88">
        <f t="shared" si="35"/>
        <v>188734.70337924839</v>
      </c>
      <c r="F157" s="88">
        <f t="shared" si="35"/>
        <v>200757.50402984917</v>
      </c>
      <c r="G157" s="88">
        <f t="shared" si="35"/>
        <v>212669.75399153438</v>
      </c>
      <c r="H157" s="88">
        <f t="shared" si="35"/>
        <v>225285.68673796515</v>
      </c>
      <c r="I157" s="88">
        <f t="shared" si="35"/>
        <v>238927.05746744308</v>
      </c>
      <c r="J157" s="88">
        <f t="shared" si="35"/>
        <v>253394.37580512711</v>
      </c>
      <c r="K157" s="88">
        <f t="shared" si="35"/>
        <v>268737.64366960787</v>
      </c>
    </row>
    <row r="158" spans="1:16">
      <c r="A158" t="s">
        <v>5</v>
      </c>
      <c r="B158" s="88">
        <f t="shared" ref="B158:K170" si="36">B141</f>
        <v>115850.48024547379</v>
      </c>
      <c r="C158" s="88">
        <f t="shared" si="36"/>
        <v>122263.38028844798</v>
      </c>
      <c r="D158" s="88">
        <f t="shared" si="36"/>
        <v>129010.90699157723</v>
      </c>
      <c r="E158" s="88">
        <f t="shared" si="36"/>
        <v>136554.46865532571</v>
      </c>
      <c r="F158" s="88">
        <f t="shared" si="36"/>
        <v>144160.12044048726</v>
      </c>
      <c r="G158" s="88">
        <f t="shared" si="36"/>
        <v>152281.46130788699</v>
      </c>
      <c r="H158" s="88">
        <f t="shared" si="36"/>
        <v>160858.07430873759</v>
      </c>
      <c r="I158" s="88">
        <f t="shared" si="36"/>
        <v>169847.43548842263</v>
      </c>
      <c r="J158" s="88">
        <f t="shared" si="36"/>
        <v>179339.11609235071</v>
      </c>
      <c r="K158" s="88">
        <f t="shared" si="36"/>
        <v>189361.18067369462</v>
      </c>
    </row>
    <row r="159" spans="1:16">
      <c r="A159" t="s">
        <v>6</v>
      </c>
      <c r="B159" s="88">
        <f t="shared" si="36"/>
        <v>13982.840409052773</v>
      </c>
      <c r="C159" s="88">
        <f t="shared" si="36"/>
        <v>14756.860142679378</v>
      </c>
      <c r="D159" s="88">
        <f t="shared" si="36"/>
        <v>15571.268411387133</v>
      </c>
      <c r="E159" s="88">
        <f t="shared" si="36"/>
        <v>16419.443075248491</v>
      </c>
      <c r="F159" s="88">
        <f t="shared" si="36"/>
        <v>17317.523807892412</v>
      </c>
      <c r="G159" s="88">
        <f t="shared" si="36"/>
        <v>18275.793153032711</v>
      </c>
      <c r="H159" s="88">
        <f t="shared" si="36"/>
        <v>19268.537666944885</v>
      </c>
      <c r="I159" s="88">
        <f t="shared" si="36"/>
        <v>20319.64019129458</v>
      </c>
      <c r="J159" s="88">
        <f t="shared" si="36"/>
        <v>21428.07575270742</v>
      </c>
      <c r="K159" s="88">
        <f t="shared" si="36"/>
        <v>22596.971060372201</v>
      </c>
    </row>
    <row r="160" spans="1:16">
      <c r="A160" t="s">
        <v>7</v>
      </c>
      <c r="B160" s="88">
        <f t="shared" si="36"/>
        <v>23490.727223778569</v>
      </c>
      <c r="C160" s="88">
        <f t="shared" si="36"/>
        <v>24532.570820346031</v>
      </c>
      <c r="D160" s="88">
        <f t="shared" si="36"/>
        <v>25616.578946102913</v>
      </c>
      <c r="E160" s="88">
        <f t="shared" si="36"/>
        <v>26755.646486343154</v>
      </c>
      <c r="F160" s="88">
        <f t="shared" si="36"/>
        <v>27951.344822146399</v>
      </c>
      <c r="G160" s="88">
        <f t="shared" si="36"/>
        <v>29162.516489888403</v>
      </c>
      <c r="H160" s="88">
        <f t="shared" si="36"/>
        <v>30425.744727231224</v>
      </c>
      <c r="I160" s="88">
        <f t="shared" si="36"/>
        <v>31750.723061666256</v>
      </c>
      <c r="J160" s="88">
        <f t="shared" si="36"/>
        <v>33133.394024053894</v>
      </c>
      <c r="K160" s="88">
        <f t="shared" si="36"/>
        <v>34576.268910853752</v>
      </c>
    </row>
    <row r="161" spans="1:16">
      <c r="A161" t="s">
        <v>8</v>
      </c>
      <c r="B161" s="88">
        <f t="shared" si="36"/>
        <v>27504.113438370092</v>
      </c>
      <c r="C161" s="88">
        <f t="shared" si="36"/>
        <v>29081.629591702836</v>
      </c>
      <c r="D161" s="88">
        <f t="shared" si="36"/>
        <v>30628.426063836818</v>
      </c>
      <c r="E161" s="88">
        <f t="shared" si="36"/>
        <v>32388.697819831017</v>
      </c>
      <c r="F161" s="88">
        <f t="shared" si="36"/>
        <v>34257.465977786131</v>
      </c>
      <c r="G161" s="88">
        <f t="shared" si="36"/>
        <v>36221.647800813713</v>
      </c>
      <c r="H161" s="88">
        <f t="shared" si="36"/>
        <v>38261.679809782887</v>
      </c>
      <c r="I161" s="88">
        <f t="shared" si="36"/>
        <v>40438.157594547054</v>
      </c>
      <c r="J161" s="88">
        <f t="shared" si="36"/>
        <v>42738.432564995448</v>
      </c>
      <c r="K161" s="88">
        <f t="shared" si="36"/>
        <v>45169.545121352719</v>
      </c>
    </row>
    <row r="162" spans="1:16">
      <c r="A162" t="s">
        <v>9</v>
      </c>
      <c r="B162" s="88">
        <f t="shared" si="36"/>
        <v>19654.145846655058</v>
      </c>
      <c r="C162" s="88">
        <f t="shared" si="36"/>
        <v>21076.333431235449</v>
      </c>
      <c r="D162" s="88">
        <f t="shared" si="36"/>
        <v>22555.705122322222</v>
      </c>
      <c r="E162" s="88">
        <f t="shared" si="36"/>
        <v>24167.943648903271</v>
      </c>
      <c r="F162" s="88">
        <f t="shared" si="36"/>
        <v>25876.780233451569</v>
      </c>
      <c r="G162" s="88">
        <f t="shared" si="36"/>
        <v>27748.723141399259</v>
      </c>
      <c r="H162" s="88">
        <f t="shared" si="36"/>
        <v>29755.667739431468</v>
      </c>
      <c r="I162" s="88">
        <f t="shared" si="36"/>
        <v>31884.795672540746</v>
      </c>
      <c r="J162" s="88">
        <f t="shared" si="36"/>
        <v>34166.262899899906</v>
      </c>
      <c r="K162" s="88">
        <f t="shared" si="36"/>
        <v>36610.968285876872</v>
      </c>
    </row>
    <row r="163" spans="1:16">
      <c r="A163" t="s">
        <v>10</v>
      </c>
      <c r="B163" s="88">
        <f t="shared" si="36"/>
        <v>17757.579038677741</v>
      </c>
      <c r="C163" s="88">
        <f t="shared" si="36"/>
        <v>18616.204444899169</v>
      </c>
      <c r="D163" s="88">
        <f t="shared" si="36"/>
        <v>19457.408653536819</v>
      </c>
      <c r="E163" s="88">
        <f t="shared" si="36"/>
        <v>20342.06844363112</v>
      </c>
      <c r="F163" s="88">
        <f t="shared" si="36"/>
        <v>21312.213248327851</v>
      </c>
      <c r="G163" s="88">
        <f t="shared" si="36"/>
        <v>22363.615781507619</v>
      </c>
      <c r="H163" s="88">
        <f t="shared" si="36"/>
        <v>23533.670768812877</v>
      </c>
      <c r="I163" s="88">
        <f t="shared" si="36"/>
        <v>24699.744587016823</v>
      </c>
      <c r="J163" s="88">
        <f t="shared" si="36"/>
        <v>25923.590571008142</v>
      </c>
      <c r="K163" s="88">
        <f t="shared" si="36"/>
        <v>27208.070352332947</v>
      </c>
    </row>
    <row r="164" spans="1:16">
      <c r="A164" t="s">
        <v>18</v>
      </c>
      <c r="B164" s="88">
        <f t="shared" si="36"/>
        <v>28377.247329406087</v>
      </c>
      <c r="C164" s="88">
        <f t="shared" si="36"/>
        <v>30033.229435122696</v>
      </c>
      <c r="D164" s="88">
        <f t="shared" si="36"/>
        <v>31810.871255140522</v>
      </c>
      <c r="E164" s="88">
        <f t="shared" si="36"/>
        <v>33670.925373715036</v>
      </c>
      <c r="F164" s="88">
        <f t="shared" si="36"/>
        <v>35714.755193665544</v>
      </c>
      <c r="G164" s="88">
        <f t="shared" si="36"/>
        <v>37869.670282661908</v>
      </c>
      <c r="H164" s="88">
        <f t="shared" si="36"/>
        <v>40116.163751754793</v>
      </c>
      <c r="I164" s="88">
        <f t="shared" si="36"/>
        <v>42518.505265481945</v>
      </c>
      <c r="J164" s="88">
        <f t="shared" si="36"/>
        <v>45064.699984027604</v>
      </c>
      <c r="K164" s="88">
        <f t="shared" si="36"/>
        <v>47763.36066884255</v>
      </c>
    </row>
    <row r="165" spans="1:16">
      <c r="A165" t="s">
        <v>16</v>
      </c>
      <c r="B165" s="88">
        <f t="shared" si="36"/>
        <v>9782.1964709051808</v>
      </c>
      <c r="C165" s="88">
        <f t="shared" si="36"/>
        <v>10235.620288041428</v>
      </c>
      <c r="D165" s="88">
        <f t="shared" si="36"/>
        <v>10718.608738513452</v>
      </c>
      <c r="E165" s="88">
        <f t="shared" si="36"/>
        <v>11227.392884844547</v>
      </c>
      <c r="F165" s="88">
        <f t="shared" si="36"/>
        <v>11762.844670768076</v>
      </c>
      <c r="G165" s="88">
        <f t="shared" si="36"/>
        <v>12331.378432521382</v>
      </c>
      <c r="H165" s="88">
        <f t="shared" si="36"/>
        <v>12927.210476218879</v>
      </c>
      <c r="I165" s="88">
        <f t="shared" si="36"/>
        <v>13546.193223849727</v>
      </c>
      <c r="J165" s="88">
        <f t="shared" si="36"/>
        <v>14194.81101374695</v>
      </c>
      <c r="K165" s="88">
        <f t="shared" si="36"/>
        <v>14874.482336746029</v>
      </c>
    </row>
    <row r="166" spans="1:16">
      <c r="A166" t="s">
        <v>11</v>
      </c>
      <c r="B166" s="88">
        <f t="shared" si="36"/>
        <v>5891.3022225153381</v>
      </c>
      <c r="C166" s="88">
        <f t="shared" si="36"/>
        <v>6240.9882274667398</v>
      </c>
      <c r="D166" s="88">
        <f t="shared" si="36"/>
        <v>6610.3871192958541</v>
      </c>
      <c r="E166" s="88">
        <f t="shared" si="36"/>
        <v>7003.5248528498805</v>
      </c>
      <c r="F166" s="88">
        <f t="shared" si="36"/>
        <v>7421.6316278308886</v>
      </c>
      <c r="G166" s="88">
        <f t="shared" si="36"/>
        <v>7876.853338726256</v>
      </c>
      <c r="H166" s="88">
        <f t="shared" si="36"/>
        <v>8320.4839827356718</v>
      </c>
      <c r="I166" s="88">
        <f t="shared" si="36"/>
        <v>8810.4308693321072</v>
      </c>
      <c r="J166" s="88">
        <f t="shared" si="36"/>
        <v>9329.2258996542423</v>
      </c>
      <c r="K166" s="88">
        <f t="shared" si="36"/>
        <v>9878.5674045791548</v>
      </c>
    </row>
    <row r="167" spans="1:16">
      <c r="A167" t="s">
        <v>13</v>
      </c>
      <c r="B167" s="88">
        <f t="shared" si="36"/>
        <v>13015.934321462773</v>
      </c>
      <c r="C167" s="88">
        <f t="shared" si="36"/>
        <v>13476.024721270978</v>
      </c>
      <c r="D167" s="88">
        <f t="shared" si="36"/>
        <v>13923.220163679234</v>
      </c>
      <c r="E167" s="88">
        <f t="shared" si="36"/>
        <v>14458.753862211928</v>
      </c>
      <c r="F167" s="88">
        <f t="shared" si="36"/>
        <v>15047.036138730071</v>
      </c>
      <c r="G167" s="88">
        <f t="shared" si="36"/>
        <v>15608.734786912868</v>
      </c>
      <c r="H167" s="88">
        <f t="shared" si="36"/>
        <v>16159.948137089295</v>
      </c>
      <c r="I167" s="88">
        <f t="shared" si="36"/>
        <v>16766.700865673727</v>
      </c>
      <c r="J167" s="88">
        <f t="shared" si="36"/>
        <v>17396.231249972214</v>
      </c>
      <c r="K167" s="88">
        <f t="shared" si="36"/>
        <v>18049.393987394586</v>
      </c>
    </row>
    <row r="168" spans="1:16">
      <c r="A168" s="6" t="s">
        <v>71</v>
      </c>
      <c r="B168" s="88">
        <f t="shared" si="36"/>
        <v>28791.565066927964</v>
      </c>
      <c r="C168" s="88">
        <f t="shared" si="36"/>
        <v>30298.917575967578</v>
      </c>
      <c r="D168" s="88">
        <f t="shared" si="36"/>
        <v>31880.154947029732</v>
      </c>
      <c r="E168" s="88">
        <f t="shared" si="36"/>
        <v>33584.788311616554</v>
      </c>
      <c r="F168" s="88">
        <f t="shared" si="36"/>
        <v>35388.140800757341</v>
      </c>
      <c r="G168" s="88">
        <f t="shared" si="36"/>
        <v>37275.55331184082</v>
      </c>
      <c r="H168" s="88">
        <f t="shared" si="36"/>
        <v>39225.794609276592</v>
      </c>
      <c r="I168" s="88">
        <f t="shared" si="36"/>
        <v>41300.179658613044</v>
      </c>
      <c r="J168" s="88">
        <f t="shared" si="36"/>
        <v>43484.255035020928</v>
      </c>
      <c r="K168" s="88">
        <f t="shared" si="36"/>
        <v>45783.819883571348</v>
      </c>
    </row>
    <row r="169" spans="1:16">
      <c r="A169" s="6" t="s">
        <v>166</v>
      </c>
      <c r="B169" s="88">
        <f t="shared" si="36"/>
        <v>13022.248813879105</v>
      </c>
      <c r="C169" s="88">
        <f t="shared" si="36"/>
        <v>13763.58026227405</v>
      </c>
      <c r="D169" s="88">
        <f t="shared" si="36"/>
        <v>14534.607947988557</v>
      </c>
      <c r="E169" s="88">
        <f t="shared" si="36"/>
        <v>15379.324163503321</v>
      </c>
      <c r="F169" s="88">
        <f t="shared" si="36"/>
        <v>16284.500537697071</v>
      </c>
      <c r="G169" s="88">
        <f t="shared" si="36"/>
        <v>17220.662279999153</v>
      </c>
      <c r="H169" s="88">
        <f t="shared" si="36"/>
        <v>18208.853194936561</v>
      </c>
      <c r="I169" s="88">
        <f t="shared" si="36"/>
        <v>19260.082992420466</v>
      </c>
      <c r="J169" s="88">
        <f t="shared" si="36"/>
        <v>20372.535606419737</v>
      </c>
      <c r="K169" s="88">
        <f t="shared" si="36"/>
        <v>21549.805932502852</v>
      </c>
      <c r="N169" s="269">
        <f>K169/(SUM(K157:K166)+K169)</f>
        <v>3.0000000000000002E-2</v>
      </c>
    </row>
    <row r="170" spans="1:16">
      <c r="A170" s="212" t="s">
        <v>218</v>
      </c>
      <c r="B170" s="88">
        <f>B153</f>
        <v>2085.3611888863684</v>
      </c>
      <c r="C170" s="88">
        <f t="shared" si="36"/>
        <v>2085.3611888863684</v>
      </c>
      <c r="D170" s="88">
        <f t="shared" si="36"/>
        <v>2085.3611888863684</v>
      </c>
      <c r="E170" s="88">
        <f t="shared" si="36"/>
        <v>2085.3611888863684</v>
      </c>
      <c r="F170" s="88">
        <f t="shared" si="36"/>
        <v>2085.3611888863684</v>
      </c>
      <c r="G170" s="88">
        <f t="shared" si="36"/>
        <v>2085.3611888863684</v>
      </c>
      <c r="H170" s="88">
        <f t="shared" si="36"/>
        <v>2085.3611888863684</v>
      </c>
      <c r="I170" s="88">
        <f t="shared" si="36"/>
        <v>2085.3611888863684</v>
      </c>
      <c r="J170" s="88">
        <f t="shared" si="36"/>
        <v>2085.3611888863684</v>
      </c>
      <c r="K170" s="88">
        <f t="shared" si="36"/>
        <v>2085.3611888863684</v>
      </c>
    </row>
    <row r="171" spans="1:16">
      <c r="A171" s="211" t="s">
        <v>276</v>
      </c>
      <c r="B171" s="88">
        <f>UF_Calculations_1!B17</f>
        <v>4902.4848588157956</v>
      </c>
      <c r="C171" s="88">
        <f>UF_Calculations_1!C153</f>
        <v>5506.552242045861</v>
      </c>
      <c r="D171" s="88">
        <f>UF_Calculations_1!D153</f>
        <v>5712.075687240942</v>
      </c>
      <c r="E171" s="88">
        <f>UF_Calculations_1!E153</f>
        <v>5902.8047756031974</v>
      </c>
      <c r="F171" s="88">
        <f>UF_Calculations_1!F153</f>
        <v>6077.6056308944699</v>
      </c>
      <c r="G171" s="88">
        <f>UF_Calculations_1!G153</f>
        <v>6263.7425656943451</v>
      </c>
      <c r="H171" s="88">
        <f>UF_Calculations_1!H153</f>
        <v>6452.5690717433672</v>
      </c>
      <c r="I171" s="88">
        <f>UF_Calculations_1!I153</f>
        <v>6647.1972102670579</v>
      </c>
      <c r="J171" s="88">
        <f>UF_Calculations_1!J153</f>
        <v>6841.4444262397956</v>
      </c>
      <c r="K171" s="88">
        <f>UF_Calculations_1!K153</f>
        <v>7034.6234214260548</v>
      </c>
    </row>
    <row r="172" spans="1:16">
      <c r="A172" s="6" t="s">
        <v>98</v>
      </c>
      <c r="B172" s="88">
        <f>SUM(B157:B171)</f>
        <v>482870.30589872971</v>
      </c>
      <c r="C172" s="88">
        <f t="shared" ref="C172:K172" si="37">SUM(C157:C171)</f>
        <v>510152.86447063915</v>
      </c>
      <c r="D172" s="88">
        <f t="shared" si="37"/>
        <v>538087.74358645477</v>
      </c>
      <c r="E172" s="88">
        <f t="shared" si="37"/>
        <v>568675.8469217621</v>
      </c>
      <c r="F172" s="88">
        <f t="shared" si="37"/>
        <v>601414.82834917062</v>
      </c>
      <c r="G172" s="88">
        <f t="shared" si="37"/>
        <v>635255.46785330621</v>
      </c>
      <c r="H172" s="88">
        <f t="shared" si="37"/>
        <v>670885.44617154752</v>
      </c>
      <c r="I172" s="88">
        <f t="shared" si="37"/>
        <v>708802.20533745561</v>
      </c>
      <c r="J172" s="88">
        <f t="shared" si="37"/>
        <v>748891.81211411057</v>
      </c>
      <c r="K172" s="88">
        <f t="shared" si="37"/>
        <v>791280.06289804005</v>
      </c>
      <c r="L172" s="269">
        <f>(B172-B155)/$B$19</f>
        <v>9.4824476129246882E-3</v>
      </c>
      <c r="M172" s="269">
        <f>(K172-K155)/$K$19</f>
        <v>8.2719434723641707E-3</v>
      </c>
      <c r="P172" s="269"/>
    </row>
    <row r="173" spans="1:16" s="287" customFormat="1">
      <c r="A173" s="287" t="s">
        <v>317</v>
      </c>
      <c r="B173" s="298"/>
      <c r="C173" s="298"/>
      <c r="D173" s="298"/>
      <c r="E173" s="298"/>
      <c r="F173" s="298"/>
      <c r="G173" s="298"/>
      <c r="H173" s="298"/>
      <c r="I173" s="298"/>
      <c r="J173" s="298"/>
      <c r="K173" s="288"/>
      <c r="L173" s="288">
        <f>SUM(L3:L172)</f>
        <v>-6.6026206835110207E-2</v>
      </c>
      <c r="M173" s="288">
        <f>SUM(M3:M172)</f>
        <v>-6.9541671389926979E-2</v>
      </c>
      <c r="P173" s="288"/>
    </row>
    <row r="174" spans="1:16">
      <c r="A174" s="210" t="s">
        <v>318</v>
      </c>
      <c r="L174"/>
      <c r="M174"/>
    </row>
    <row r="175" spans="1:16">
      <c r="A175" t="s">
        <v>4</v>
      </c>
      <c r="B175" s="88">
        <f>B157</f>
        <v>158762.07942392307</v>
      </c>
      <c r="C175" s="88">
        <f t="shared" ref="C175:K175" si="38">C157</f>
        <v>168185.61181025262</v>
      </c>
      <c r="D175" s="88">
        <f t="shared" si="38"/>
        <v>177972.16234991711</v>
      </c>
      <c r="E175" s="88">
        <f t="shared" si="38"/>
        <v>188734.70337924839</v>
      </c>
      <c r="F175" s="88">
        <f t="shared" si="38"/>
        <v>200757.50402984917</v>
      </c>
      <c r="G175" s="88">
        <f t="shared" si="38"/>
        <v>212669.75399153438</v>
      </c>
      <c r="H175" s="88">
        <f t="shared" si="38"/>
        <v>225285.68673796515</v>
      </c>
      <c r="I175" s="88">
        <f t="shared" si="38"/>
        <v>238927.05746744308</v>
      </c>
      <c r="J175" s="88">
        <f t="shared" si="38"/>
        <v>253394.37580512711</v>
      </c>
      <c r="K175" s="88">
        <f t="shared" si="38"/>
        <v>268737.64366960787</v>
      </c>
      <c r="L175"/>
      <c r="M175" s="88"/>
      <c r="O175" s="88"/>
    </row>
    <row r="176" spans="1:16">
      <c r="A176" t="s">
        <v>5</v>
      </c>
      <c r="B176" s="88">
        <f t="shared" ref="B176:K186" si="39">B158</f>
        <v>115850.48024547379</v>
      </c>
      <c r="C176" s="88">
        <f t="shared" si="39"/>
        <v>122263.38028844798</v>
      </c>
      <c r="D176" s="88">
        <f t="shared" si="39"/>
        <v>129010.90699157723</v>
      </c>
      <c r="E176" s="88">
        <f t="shared" si="39"/>
        <v>136554.46865532571</v>
      </c>
      <c r="F176" s="88">
        <f t="shared" si="39"/>
        <v>144160.12044048726</v>
      </c>
      <c r="G176" s="88">
        <f t="shared" si="39"/>
        <v>152281.46130788699</v>
      </c>
      <c r="H176" s="88">
        <f t="shared" si="39"/>
        <v>160858.07430873759</v>
      </c>
      <c r="I176" s="88">
        <f t="shared" si="39"/>
        <v>169847.43548842263</v>
      </c>
      <c r="J176" s="88">
        <f t="shared" si="39"/>
        <v>179339.11609235071</v>
      </c>
      <c r="K176" s="88">
        <f t="shared" si="39"/>
        <v>189361.18067369462</v>
      </c>
      <c r="L176"/>
      <c r="M176" s="88"/>
      <c r="O176" s="88"/>
    </row>
    <row r="177" spans="1:16">
      <c r="A177" t="s">
        <v>6</v>
      </c>
      <c r="B177" s="88">
        <f t="shared" si="39"/>
        <v>13982.840409052773</v>
      </c>
      <c r="C177" s="88">
        <f t="shared" si="39"/>
        <v>14756.860142679378</v>
      </c>
      <c r="D177" s="88">
        <f t="shared" si="39"/>
        <v>15571.268411387133</v>
      </c>
      <c r="E177" s="88">
        <f t="shared" si="39"/>
        <v>16419.443075248491</v>
      </c>
      <c r="F177" s="88">
        <f t="shared" si="39"/>
        <v>17317.523807892412</v>
      </c>
      <c r="G177" s="88">
        <f t="shared" si="39"/>
        <v>18275.793153032711</v>
      </c>
      <c r="H177" s="88">
        <f t="shared" si="39"/>
        <v>19268.537666944885</v>
      </c>
      <c r="I177" s="88">
        <f t="shared" si="39"/>
        <v>20319.64019129458</v>
      </c>
      <c r="J177" s="88">
        <f t="shared" si="39"/>
        <v>21428.07575270742</v>
      </c>
      <c r="K177" s="88">
        <f t="shared" si="39"/>
        <v>22596.971060372201</v>
      </c>
      <c r="L177"/>
      <c r="M177" s="88"/>
      <c r="O177" s="88"/>
    </row>
    <row r="178" spans="1:16">
      <c r="A178" t="s">
        <v>7</v>
      </c>
      <c r="B178" s="88">
        <f t="shared" si="39"/>
        <v>23490.727223778569</v>
      </c>
      <c r="C178" s="88">
        <f t="shared" si="39"/>
        <v>24532.570820346031</v>
      </c>
      <c r="D178" s="88">
        <f t="shared" si="39"/>
        <v>25616.578946102913</v>
      </c>
      <c r="E178" s="88">
        <f t="shared" si="39"/>
        <v>26755.646486343154</v>
      </c>
      <c r="F178" s="88">
        <f t="shared" si="39"/>
        <v>27951.344822146399</v>
      </c>
      <c r="G178" s="88">
        <f t="shared" si="39"/>
        <v>29162.516489888403</v>
      </c>
      <c r="H178" s="88">
        <f t="shared" si="39"/>
        <v>30425.744727231224</v>
      </c>
      <c r="I178" s="88">
        <f t="shared" si="39"/>
        <v>31750.723061666256</v>
      </c>
      <c r="J178" s="88">
        <f t="shared" si="39"/>
        <v>33133.394024053894</v>
      </c>
      <c r="K178" s="88">
        <f t="shared" si="39"/>
        <v>34576.268910853752</v>
      </c>
      <c r="L178"/>
      <c r="M178" s="88"/>
      <c r="O178" s="88"/>
    </row>
    <row r="179" spans="1:16">
      <c r="A179" t="s">
        <v>8</v>
      </c>
      <c r="B179" s="88">
        <f>B161*UF_Assumptions_1!$K$8</f>
        <v>52286.231772280269</v>
      </c>
      <c r="C179" s="88">
        <f>C161*UF_Assumptions_1!$K$8</f>
        <v>55285.142295336918</v>
      </c>
      <c r="D179" s="88">
        <f>D161*UF_Assumptions_1!$K$8</f>
        <v>58225.653685670084</v>
      </c>
      <c r="E179" s="88">
        <f>E161*UF_Assumptions_1!$K$8</f>
        <v>61571.98867015689</v>
      </c>
      <c r="F179" s="88">
        <f>F161*UF_Assumptions_1!$K$8</f>
        <v>65124.578912865283</v>
      </c>
      <c r="G179" s="88">
        <f>G161*UF_Assumptions_1!$K$8</f>
        <v>68858.553697104173</v>
      </c>
      <c r="H179" s="88">
        <f>H161*UF_Assumptions_1!$K$8</f>
        <v>72736.722200257136</v>
      </c>
      <c r="I179" s="88">
        <f>I161*UF_Assumptions_1!$K$8</f>
        <v>76874.278648182473</v>
      </c>
      <c r="J179" s="88">
        <f>J161*UF_Assumptions_1!$K$8</f>
        <v>81247.17765161123</v>
      </c>
      <c r="K179" s="88">
        <f>K161*UF_Assumptions_1!$K$8</f>
        <v>85868.803244853028</v>
      </c>
      <c r="L179"/>
      <c r="M179" s="88"/>
      <c r="N179" s="88"/>
      <c r="O179" s="88"/>
    </row>
    <row r="180" spans="1:16">
      <c r="A180" t="s">
        <v>9</v>
      </c>
      <c r="B180" s="88">
        <f t="shared" si="39"/>
        <v>19654.145846655058</v>
      </c>
      <c r="C180" s="88">
        <f t="shared" si="39"/>
        <v>21076.333431235449</v>
      </c>
      <c r="D180" s="88">
        <f t="shared" si="39"/>
        <v>22555.705122322222</v>
      </c>
      <c r="E180" s="88">
        <f t="shared" si="39"/>
        <v>24167.943648903271</v>
      </c>
      <c r="F180" s="88">
        <f t="shared" si="39"/>
        <v>25876.780233451569</v>
      </c>
      <c r="G180" s="88">
        <f t="shared" si="39"/>
        <v>27748.723141399259</v>
      </c>
      <c r="H180" s="88">
        <f t="shared" si="39"/>
        <v>29755.667739431468</v>
      </c>
      <c r="I180" s="88">
        <f t="shared" si="39"/>
        <v>31884.795672540746</v>
      </c>
      <c r="J180" s="88">
        <f t="shared" si="39"/>
        <v>34166.262899899906</v>
      </c>
      <c r="K180" s="88">
        <f t="shared" si="39"/>
        <v>36610.968285876872</v>
      </c>
      <c r="L180"/>
      <c r="M180" s="88"/>
      <c r="N180" s="88"/>
      <c r="O180" s="88"/>
    </row>
    <row r="181" spans="1:16">
      <c r="A181" t="s">
        <v>10</v>
      </c>
      <c r="B181" s="88">
        <f t="shared" si="39"/>
        <v>17757.579038677741</v>
      </c>
      <c r="C181" s="88">
        <f t="shared" si="39"/>
        <v>18616.204444899169</v>
      </c>
      <c r="D181" s="88">
        <f t="shared" si="39"/>
        <v>19457.408653536819</v>
      </c>
      <c r="E181" s="88">
        <f t="shared" si="39"/>
        <v>20342.06844363112</v>
      </c>
      <c r="F181" s="88">
        <f t="shared" si="39"/>
        <v>21312.213248327851</v>
      </c>
      <c r="G181" s="88">
        <f t="shared" si="39"/>
        <v>22363.615781507619</v>
      </c>
      <c r="H181" s="88">
        <f t="shared" si="39"/>
        <v>23533.670768812877</v>
      </c>
      <c r="I181" s="88">
        <f t="shared" si="39"/>
        <v>24699.744587016823</v>
      </c>
      <c r="J181" s="88">
        <f t="shared" si="39"/>
        <v>25923.590571008142</v>
      </c>
      <c r="K181" s="88">
        <f t="shared" si="39"/>
        <v>27208.070352332947</v>
      </c>
      <c r="L181"/>
      <c r="M181" s="88"/>
      <c r="N181" s="88"/>
      <c r="O181" s="88"/>
    </row>
    <row r="182" spans="1:16">
      <c r="A182" t="s">
        <v>18</v>
      </c>
      <c r="B182" s="88">
        <f t="shared" si="39"/>
        <v>28377.247329406087</v>
      </c>
      <c r="C182" s="88">
        <f t="shared" si="39"/>
        <v>30033.229435122696</v>
      </c>
      <c r="D182" s="88">
        <f t="shared" si="39"/>
        <v>31810.871255140522</v>
      </c>
      <c r="E182" s="88">
        <f t="shared" si="39"/>
        <v>33670.925373715036</v>
      </c>
      <c r="F182" s="88">
        <f t="shared" si="39"/>
        <v>35714.755193665544</v>
      </c>
      <c r="G182" s="88">
        <f t="shared" si="39"/>
        <v>37869.670282661908</v>
      </c>
      <c r="H182" s="88">
        <f t="shared" si="39"/>
        <v>40116.163751754793</v>
      </c>
      <c r="I182" s="88">
        <f t="shared" si="39"/>
        <v>42518.505265481945</v>
      </c>
      <c r="J182" s="88">
        <f t="shared" si="39"/>
        <v>45064.699984027604</v>
      </c>
      <c r="K182" s="88">
        <f t="shared" si="39"/>
        <v>47763.36066884255</v>
      </c>
      <c r="L182"/>
      <c r="M182" s="88"/>
      <c r="N182" s="88"/>
      <c r="O182" s="88"/>
    </row>
    <row r="183" spans="1:16">
      <c r="A183" t="s">
        <v>16</v>
      </c>
      <c r="B183" s="88">
        <f t="shared" si="39"/>
        <v>9782.1964709051808</v>
      </c>
      <c r="C183" s="88">
        <f t="shared" si="39"/>
        <v>10235.620288041428</v>
      </c>
      <c r="D183" s="88">
        <f t="shared" si="39"/>
        <v>10718.608738513452</v>
      </c>
      <c r="E183" s="88">
        <f t="shared" si="39"/>
        <v>11227.392884844547</v>
      </c>
      <c r="F183" s="88">
        <f t="shared" si="39"/>
        <v>11762.844670768076</v>
      </c>
      <c r="G183" s="88">
        <f t="shared" si="39"/>
        <v>12331.378432521382</v>
      </c>
      <c r="H183" s="88">
        <f t="shared" si="39"/>
        <v>12927.210476218879</v>
      </c>
      <c r="I183" s="88">
        <f t="shared" si="39"/>
        <v>13546.193223849727</v>
      </c>
      <c r="J183" s="88">
        <f t="shared" si="39"/>
        <v>14194.81101374695</v>
      </c>
      <c r="K183" s="88">
        <f t="shared" si="39"/>
        <v>14874.482336746029</v>
      </c>
      <c r="L183"/>
      <c r="M183" s="88"/>
      <c r="N183" s="88"/>
      <c r="O183" s="88"/>
    </row>
    <row r="184" spans="1:16">
      <c r="A184" t="s">
        <v>11</v>
      </c>
      <c r="B184" s="88">
        <f t="shared" si="39"/>
        <v>5891.3022225153381</v>
      </c>
      <c r="C184" s="88">
        <f t="shared" si="39"/>
        <v>6240.9882274667398</v>
      </c>
      <c r="D184" s="88">
        <f t="shared" si="39"/>
        <v>6610.3871192958541</v>
      </c>
      <c r="E184" s="88">
        <f t="shared" si="39"/>
        <v>7003.5248528498805</v>
      </c>
      <c r="F184" s="88">
        <f t="shared" si="39"/>
        <v>7421.6316278308886</v>
      </c>
      <c r="G184" s="88">
        <f t="shared" si="39"/>
        <v>7876.853338726256</v>
      </c>
      <c r="H184" s="88">
        <f t="shared" si="39"/>
        <v>8320.4839827356718</v>
      </c>
      <c r="I184" s="88">
        <f t="shared" si="39"/>
        <v>8810.4308693321072</v>
      </c>
      <c r="J184" s="88">
        <f t="shared" si="39"/>
        <v>9329.2258996542423</v>
      </c>
      <c r="K184" s="88">
        <f t="shared" si="39"/>
        <v>9878.5674045791548</v>
      </c>
      <c r="L184"/>
      <c r="M184" s="88"/>
      <c r="N184" s="88"/>
      <c r="O184" s="88"/>
    </row>
    <row r="185" spans="1:16">
      <c r="A185" t="s">
        <v>13</v>
      </c>
      <c r="B185" s="88">
        <f t="shared" si="39"/>
        <v>13015.934321462773</v>
      </c>
      <c r="C185" s="88">
        <f t="shared" si="39"/>
        <v>13476.024721270978</v>
      </c>
      <c r="D185" s="88">
        <f t="shared" si="39"/>
        <v>13923.220163679234</v>
      </c>
      <c r="E185" s="88">
        <f t="shared" si="39"/>
        <v>14458.753862211928</v>
      </c>
      <c r="F185" s="88">
        <f t="shared" si="39"/>
        <v>15047.036138730071</v>
      </c>
      <c r="G185" s="88">
        <f t="shared" si="39"/>
        <v>15608.734786912868</v>
      </c>
      <c r="H185" s="88">
        <f t="shared" si="39"/>
        <v>16159.948137089295</v>
      </c>
      <c r="I185" s="88">
        <f t="shared" si="39"/>
        <v>16766.700865673727</v>
      </c>
      <c r="J185" s="88">
        <f t="shared" si="39"/>
        <v>17396.231249972214</v>
      </c>
      <c r="K185" s="88">
        <f t="shared" si="39"/>
        <v>18049.393987394586</v>
      </c>
      <c r="L185"/>
      <c r="M185" s="88"/>
      <c r="N185" s="88"/>
      <c r="O185" s="88"/>
    </row>
    <row r="186" spans="1:16">
      <c r="A186" s="6" t="s">
        <v>71</v>
      </c>
      <c r="B186" s="88">
        <f t="shared" si="39"/>
        <v>28791.565066927964</v>
      </c>
      <c r="C186" s="88">
        <f t="shared" si="39"/>
        <v>30298.917575967578</v>
      </c>
      <c r="D186" s="88">
        <f t="shared" si="39"/>
        <v>31880.154947029732</v>
      </c>
      <c r="E186" s="88">
        <f t="shared" si="39"/>
        <v>33584.788311616554</v>
      </c>
      <c r="F186" s="88">
        <f t="shared" si="39"/>
        <v>35388.140800757341</v>
      </c>
      <c r="G186" s="88">
        <f t="shared" si="39"/>
        <v>37275.55331184082</v>
      </c>
      <c r="H186" s="88">
        <f t="shared" si="39"/>
        <v>39225.794609276592</v>
      </c>
      <c r="I186" s="88">
        <f t="shared" si="39"/>
        <v>41300.179658613044</v>
      </c>
      <c r="J186" s="88">
        <f t="shared" si="39"/>
        <v>43484.255035020928</v>
      </c>
      <c r="K186" s="88">
        <f t="shared" si="39"/>
        <v>45783.819883571348</v>
      </c>
      <c r="L186"/>
      <c r="M186" s="88"/>
      <c r="N186" s="88"/>
      <c r="O186" s="88"/>
    </row>
    <row r="187" spans="1:16">
      <c r="A187" s="6" t="s">
        <v>166</v>
      </c>
      <c r="B187" s="285">
        <f>B169*(SUM(B175:B184)/SUM(B157:B166))</f>
        <v>13788.70608193818</v>
      </c>
      <c r="C187" s="285">
        <f t="shared" ref="C187:K187" si="40">C169*(SUM(C175:C184)/SUM(C157:C166))</f>
        <v>14573.998180943145</v>
      </c>
      <c r="D187" s="285">
        <f t="shared" si="40"/>
        <v>15388.130451756597</v>
      </c>
      <c r="E187" s="285">
        <f t="shared" si="40"/>
        <v>16281.900169183502</v>
      </c>
      <c r="F187" s="285">
        <f t="shared" si="40"/>
        <v>17239.153515070659</v>
      </c>
      <c r="G187" s="285">
        <f t="shared" si="40"/>
        <v>18230.051122152465</v>
      </c>
      <c r="H187" s="285">
        <f t="shared" si="40"/>
        <v>19275.091619384217</v>
      </c>
      <c r="I187" s="285">
        <f t="shared" si="40"/>
        <v>20386.973334285485</v>
      </c>
      <c r="J187" s="285">
        <f t="shared" si="40"/>
        <v>21563.527722500639</v>
      </c>
      <c r="K187" s="285">
        <f t="shared" si="40"/>
        <v>22808.545874466778</v>
      </c>
      <c r="L187" s="6"/>
      <c r="M187" s="261">
        <f>K187/(SUM(K175:K184)+K187)</f>
        <v>3.0000000000000002E-2</v>
      </c>
      <c r="N187" s="88"/>
      <c r="O187" s="88"/>
    </row>
    <row r="188" spans="1:16">
      <c r="A188" s="212" t="s">
        <v>218</v>
      </c>
      <c r="B188" s="88">
        <f t="shared" ref="B188:K189" si="41">B170</f>
        <v>2085.3611888863684</v>
      </c>
      <c r="C188" s="88">
        <f t="shared" si="41"/>
        <v>2085.3611888863684</v>
      </c>
      <c r="D188" s="88">
        <f t="shared" si="41"/>
        <v>2085.3611888863684</v>
      </c>
      <c r="E188" s="88">
        <f t="shared" si="41"/>
        <v>2085.3611888863684</v>
      </c>
      <c r="F188" s="88">
        <f t="shared" si="41"/>
        <v>2085.3611888863684</v>
      </c>
      <c r="G188" s="88">
        <f t="shared" si="41"/>
        <v>2085.3611888863684</v>
      </c>
      <c r="H188" s="88">
        <f t="shared" si="41"/>
        <v>2085.3611888863684</v>
      </c>
      <c r="I188" s="88">
        <f t="shared" si="41"/>
        <v>2085.3611888863684</v>
      </c>
      <c r="J188" s="88">
        <f t="shared" si="41"/>
        <v>2085.3611888863684</v>
      </c>
      <c r="K188" s="88">
        <f t="shared" si="41"/>
        <v>2085.3611888863684</v>
      </c>
      <c r="L188"/>
      <c r="M188" s="88"/>
      <c r="O188" s="88"/>
    </row>
    <row r="189" spans="1:16">
      <c r="A189" s="211" t="s">
        <v>276</v>
      </c>
      <c r="B189" s="88">
        <f t="shared" si="41"/>
        <v>4902.4848588157956</v>
      </c>
      <c r="C189" s="88">
        <f t="shared" si="41"/>
        <v>5506.552242045861</v>
      </c>
      <c r="D189" s="88">
        <f t="shared" si="41"/>
        <v>5712.075687240942</v>
      </c>
      <c r="E189" s="88">
        <f t="shared" si="41"/>
        <v>5902.8047756031974</v>
      </c>
      <c r="F189" s="88">
        <f t="shared" si="41"/>
        <v>6077.6056308944699</v>
      </c>
      <c r="G189" s="88">
        <f t="shared" si="41"/>
        <v>6263.7425656943451</v>
      </c>
      <c r="H189" s="88">
        <f t="shared" si="41"/>
        <v>6452.5690717433672</v>
      </c>
      <c r="I189" s="88">
        <f t="shared" si="41"/>
        <v>6647.1972102670579</v>
      </c>
      <c r="J189" s="88">
        <f t="shared" si="41"/>
        <v>6841.4444262397956</v>
      </c>
      <c r="K189" s="88">
        <f t="shared" si="41"/>
        <v>7034.6234214260548</v>
      </c>
      <c r="L189"/>
      <c r="M189" s="88"/>
      <c r="O189" s="88"/>
    </row>
    <row r="190" spans="1:16">
      <c r="A190" s="6" t="s">
        <v>98</v>
      </c>
      <c r="B190" s="88">
        <f>SUM(B175:B189)</f>
        <v>508418.88150069892</v>
      </c>
      <c r="C190" s="88">
        <f t="shared" ref="C190:K190" si="42">SUM(C175:C189)</f>
        <v>537166.79509294231</v>
      </c>
      <c r="D190" s="88">
        <f t="shared" si="42"/>
        <v>566538.49371205608</v>
      </c>
      <c r="E190" s="88">
        <f t="shared" si="42"/>
        <v>598761.71377776808</v>
      </c>
      <c r="F190" s="88">
        <f t="shared" si="42"/>
        <v>633236.59426162345</v>
      </c>
      <c r="G190" s="88">
        <f t="shared" si="42"/>
        <v>668901.76259175001</v>
      </c>
      <c r="H190" s="88">
        <f t="shared" si="42"/>
        <v>706426.72698646947</v>
      </c>
      <c r="I190" s="88">
        <f t="shared" si="42"/>
        <v>746365.21673295624</v>
      </c>
      <c r="J190" s="88">
        <f t="shared" si="42"/>
        <v>788591.54931680718</v>
      </c>
      <c r="K190" s="88">
        <f t="shared" si="42"/>
        <v>833238.06096350425</v>
      </c>
      <c r="L190" s="269">
        <f>(B190-B172)/$B$19</f>
        <v>4.9416374901163518E-2</v>
      </c>
      <c r="M190" s="269">
        <f>(K190-K172)/$K$19</f>
        <v>4.933799116438372E-2</v>
      </c>
      <c r="O190" s="88"/>
    </row>
    <row r="191" spans="1:16">
      <c r="A191" s="210" t="s">
        <v>362</v>
      </c>
      <c r="P191" s="269"/>
    </row>
    <row r="192" spans="1:16">
      <c r="A192" t="s">
        <v>4</v>
      </c>
      <c r="B192" s="88">
        <f t="shared" ref="B192:B203" si="43">B175</f>
        <v>158762.07942392307</v>
      </c>
      <c r="C192" s="88">
        <f>B192*(1+UF_Assumptions_2!B16)</f>
        <v>165747.61091857569</v>
      </c>
      <c r="D192" s="88">
        <f>C192*(1+UF_Assumptions_2!C16)</f>
        <v>173372.00102083018</v>
      </c>
      <c r="E192" s="88">
        <f>D192*(1+UF_Assumptions_2!D16)</f>
        <v>181173.74106676754</v>
      </c>
      <c r="F192" s="88">
        <f>E192*(1+UF_Assumptions_2!E16)</f>
        <v>189145.38567370531</v>
      </c>
      <c r="G192" s="88">
        <f>F192*(1+UF_Assumptions_2!F16)</f>
        <v>197467.78264334836</v>
      </c>
      <c r="H192" s="88">
        <f>G192*(1+UF_Assumptions_2!G16)</f>
        <v>206156.36507965569</v>
      </c>
      <c r="I192" s="88">
        <f>H192*(1+UF_Assumptions_2!H16)</f>
        <v>215433.40150824017</v>
      </c>
      <c r="J192" s="88">
        <f>I192*(1+UF_Assumptions_2!I16)</f>
        <v>225127.90457611097</v>
      </c>
      <c r="K192" s="88">
        <f>J192*(1+UF_Assumptions_2!J16)</f>
        <v>235258.66028203594</v>
      </c>
      <c r="P192" s="269"/>
    </row>
    <row r="193" spans="1:16">
      <c r="A193" t="s">
        <v>5</v>
      </c>
      <c r="B193" s="88">
        <f t="shared" si="43"/>
        <v>115850.48024547379</v>
      </c>
      <c r="C193" s="88">
        <f>B193*(1+UF_Assumptions_2!B17)</f>
        <v>120947.90137627465</v>
      </c>
      <c r="D193" s="88">
        <f>C193*(1+UF_Assumptions_2!C17)</f>
        <v>126511.50483958329</v>
      </c>
      <c r="E193" s="88">
        <f>D193*(1+UF_Assumptions_2!D17)</f>
        <v>132204.52255736451</v>
      </c>
      <c r="F193" s="88">
        <f>E193*(1+UF_Assumptions_2!E17)</f>
        <v>138021.52154988857</v>
      </c>
      <c r="G193" s="88">
        <f>F193*(1+UF_Assumptions_2!F17)</f>
        <v>144094.46849808368</v>
      </c>
      <c r="H193" s="88">
        <f>G193*(1+UF_Assumptions_2!G17)</f>
        <v>150434.62511199937</v>
      </c>
      <c r="I193" s="88">
        <f>H193*(1+UF_Assumptions_2!H17)</f>
        <v>157204.18324203932</v>
      </c>
      <c r="J193" s="88">
        <f>I193*(1+UF_Assumptions_2!I17)</f>
        <v>164278.37148793109</v>
      </c>
      <c r="K193" s="88">
        <f>J193*(1+UF_Assumptions_2!J17)</f>
        <v>171670.89820488798</v>
      </c>
      <c r="P193" s="269"/>
    </row>
    <row r="194" spans="1:16">
      <c r="A194" t="s">
        <v>6</v>
      </c>
      <c r="B194" s="88">
        <f t="shared" si="43"/>
        <v>13982.840409052773</v>
      </c>
      <c r="C194" s="88">
        <f>B194*(1+UF_Assumptions_2!B18)</f>
        <v>14598.085387051095</v>
      </c>
      <c r="D194" s="88">
        <f>C194*(1+UF_Assumptions_2!C18)</f>
        <v>15269.597314855446</v>
      </c>
      <c r="E194" s="88">
        <f>D194*(1+UF_Assumptions_2!D18)</f>
        <v>15956.729194023939</v>
      </c>
      <c r="F194" s="88">
        <f>E194*(1+UF_Assumptions_2!E18)</f>
        <v>16658.825278560995</v>
      </c>
      <c r="G194" s="88">
        <f>F194*(1+UF_Assumptions_2!F18)</f>
        <v>17391.813590817681</v>
      </c>
      <c r="H194" s="88">
        <f>G194*(1+UF_Assumptions_2!G18)</f>
        <v>18157.05338881366</v>
      </c>
      <c r="I194" s="88">
        <f>H194*(1+UF_Assumptions_2!H18)</f>
        <v>18974.120791310273</v>
      </c>
      <c r="J194" s="88">
        <f>I194*(1+UF_Assumptions_2!I18)</f>
        <v>19827.956226919236</v>
      </c>
      <c r="K194" s="88">
        <f>J194*(1+UF_Assumptions_2!J18)</f>
        <v>20720.214257130599</v>
      </c>
      <c r="P194" s="269"/>
    </row>
    <row r="195" spans="1:16">
      <c r="A195" t="s">
        <v>7</v>
      </c>
      <c r="B195" s="88">
        <f t="shared" si="43"/>
        <v>23490.727223778569</v>
      </c>
      <c r="C195" s="88">
        <f>B195*(1+UF_Assumptions_2!B19)</f>
        <v>24524.319221624828</v>
      </c>
      <c r="D195" s="88">
        <f>C195*(1+UF_Assumptions_2!C19)</f>
        <v>25652.43790581957</v>
      </c>
      <c r="E195" s="88">
        <f>D195*(1+UF_Assumptions_2!D19)</f>
        <v>26806.797611581449</v>
      </c>
      <c r="F195" s="88">
        <f>E195*(1+UF_Assumptions_2!E19)</f>
        <v>27986.296706491034</v>
      </c>
      <c r="G195" s="88">
        <f>F195*(1+UF_Assumptions_2!F19)</f>
        <v>29217.69376157664</v>
      </c>
      <c r="H195" s="88">
        <f>G195*(1+UF_Assumptions_2!G19)</f>
        <v>30503.272287086013</v>
      </c>
      <c r="I195" s="88">
        <f>H195*(1+UF_Assumptions_2!H19)</f>
        <v>31875.919540004881</v>
      </c>
      <c r="J195" s="88">
        <f>I195*(1+UF_Assumptions_2!I19)</f>
        <v>33310.3359193051</v>
      </c>
      <c r="K195" s="88">
        <f>J195*(1+UF_Assumptions_2!J19)</f>
        <v>34809.30103567383</v>
      </c>
      <c r="P195" s="269"/>
    </row>
    <row r="196" spans="1:16">
      <c r="A196" t="s">
        <v>8</v>
      </c>
      <c r="B196" s="88">
        <f t="shared" si="43"/>
        <v>52286.231772280269</v>
      </c>
      <c r="C196" s="88">
        <f>B196*(1+UF_Assumptions_2!B20)</f>
        <v>54586.825970260601</v>
      </c>
      <c r="D196" s="88">
        <f>C196*(1+UF_Assumptions_2!C20)</f>
        <v>57097.819964892587</v>
      </c>
      <c r="E196" s="88">
        <f>D196*(1+UF_Assumptions_2!D20)</f>
        <v>59667.221863312749</v>
      </c>
      <c r="F196" s="88">
        <f>E196*(1+UF_Assumptions_2!E20)</f>
        <v>62292.579625298509</v>
      </c>
      <c r="G196" s="88">
        <f>F196*(1+UF_Assumptions_2!F20)</f>
        <v>65033.453128811649</v>
      </c>
      <c r="H196" s="88">
        <f>G196*(1+UF_Assumptions_2!G20)</f>
        <v>67894.925066479365</v>
      </c>
      <c r="I196" s="88">
        <f>H196*(1+UF_Assumptions_2!H20)</f>
        <v>70950.196694470927</v>
      </c>
      <c r="J196" s="88">
        <f>I196*(1+UF_Assumptions_2!I20)</f>
        <v>74142.955545722114</v>
      </c>
      <c r="K196" s="88">
        <f>J196*(1+UF_Assumptions_2!J20)</f>
        <v>77479.388545279609</v>
      </c>
      <c r="P196" s="269"/>
    </row>
    <row r="197" spans="1:16">
      <c r="A197" t="s">
        <v>9</v>
      </c>
      <c r="B197" s="88">
        <f t="shared" si="43"/>
        <v>19654.145846655058</v>
      </c>
      <c r="C197" s="88">
        <f>B197*(1+UF_Assumptions_2!B21)</f>
        <v>20518.928263907881</v>
      </c>
      <c r="D197" s="88">
        <f>C197*(1+UF_Assumptions_2!C21)</f>
        <v>21462.798964047644</v>
      </c>
      <c r="E197" s="88">
        <f>D197*(1+UF_Assumptions_2!D21)</f>
        <v>22428.624917429788</v>
      </c>
      <c r="F197" s="88">
        <f>E197*(1+UF_Assumptions_2!E21)</f>
        <v>23415.484413796701</v>
      </c>
      <c r="G197" s="88">
        <f>F197*(1+UF_Assumptions_2!F21)</f>
        <v>24445.765728003757</v>
      </c>
      <c r="H197" s="88">
        <f>G197*(1+UF_Assumptions_2!G21)</f>
        <v>25521.379420035923</v>
      </c>
      <c r="I197" s="88">
        <f>H197*(1+UF_Assumptions_2!H21)</f>
        <v>26669.841493937536</v>
      </c>
      <c r="J197" s="88">
        <f>I197*(1+UF_Assumptions_2!I21)</f>
        <v>27869.984361164723</v>
      </c>
      <c r="K197" s="88">
        <f>J197*(1+UF_Assumptions_2!J21)</f>
        <v>29124.133657417133</v>
      </c>
      <c r="P197" s="269"/>
    </row>
    <row r="198" spans="1:16">
      <c r="A198" t="s">
        <v>10</v>
      </c>
      <c r="B198" s="88">
        <f t="shared" si="43"/>
        <v>17757.579038677741</v>
      </c>
      <c r="C198" s="88">
        <f>B198*(1+UF_Assumptions_2!B22)</f>
        <v>18538.912516379562</v>
      </c>
      <c r="D198" s="88">
        <f>C198*(1+UF_Assumptions_2!C22)</f>
        <v>19391.702492133023</v>
      </c>
      <c r="E198" s="88">
        <f>D198*(1+UF_Assumptions_2!D22)</f>
        <v>20264.329104279008</v>
      </c>
      <c r="F198" s="88">
        <f>E198*(1+UF_Assumptions_2!E22)</f>
        <v>21155.959584867283</v>
      </c>
      <c r="G198" s="88">
        <f>F198*(1+UF_Assumptions_2!F22)</f>
        <v>22086.821806601445</v>
      </c>
      <c r="H198" s="88">
        <f>G198*(1+UF_Assumptions_2!G22)</f>
        <v>23058.641966091909</v>
      </c>
      <c r="I198" s="88">
        <f>H198*(1+UF_Assumptions_2!H22)</f>
        <v>24096.280854566045</v>
      </c>
      <c r="J198" s="88">
        <f>I198*(1+UF_Assumptions_2!I22)</f>
        <v>25180.613493021516</v>
      </c>
      <c r="K198" s="88">
        <f>J198*(1+UF_Assumptions_2!J22)</f>
        <v>26313.74110020748</v>
      </c>
      <c r="P198" s="269"/>
    </row>
    <row r="199" spans="1:16">
      <c r="A199" t="s">
        <v>18</v>
      </c>
      <c r="B199" s="88">
        <f t="shared" si="43"/>
        <v>28377.247329406087</v>
      </c>
      <c r="C199" s="88">
        <f>B199*(1+UF_Assumptions_2!B23)</f>
        <v>29625.846211899956</v>
      </c>
      <c r="D199" s="88">
        <f>C199*(1+UF_Assumptions_2!C23)</f>
        <v>30988.635137647354</v>
      </c>
      <c r="E199" s="88">
        <f>D199*(1+UF_Assumptions_2!D23)</f>
        <v>32383.123718841482</v>
      </c>
      <c r="F199" s="88">
        <f>E199*(1+UF_Assumptions_2!E23)</f>
        <v>33807.981162470511</v>
      </c>
      <c r="G199" s="88">
        <f>F199*(1+UF_Assumptions_2!F23)</f>
        <v>35295.532333619216</v>
      </c>
      <c r="H199" s="88">
        <f>G199*(1+UF_Assumptions_2!G23)</f>
        <v>36848.535756298465</v>
      </c>
      <c r="I199" s="88">
        <f>H199*(1+UF_Assumptions_2!H23)</f>
        <v>38506.719865331892</v>
      </c>
      <c r="J199" s="88">
        <f>I199*(1+UF_Assumptions_2!I23)</f>
        <v>40239.522259271827</v>
      </c>
      <c r="K199" s="88">
        <f>J199*(1+UF_Assumptions_2!J23)</f>
        <v>42050.300760939055</v>
      </c>
      <c r="P199" s="269"/>
    </row>
    <row r="200" spans="1:16">
      <c r="A200" t="s">
        <v>16</v>
      </c>
      <c r="B200" s="88">
        <f t="shared" si="43"/>
        <v>9782.1964709051808</v>
      </c>
      <c r="C200" s="88">
        <f>B200*(1+UF_Assumptions_2!B24)</f>
        <v>10212.613115625009</v>
      </c>
      <c r="D200" s="88">
        <f>C200*(1+UF_Assumptions_2!C24)</f>
        <v>10682.393318943759</v>
      </c>
      <c r="E200" s="88">
        <f>D200*(1+UF_Assumptions_2!D24)</f>
        <v>11163.101018296227</v>
      </c>
      <c r="F200" s="88">
        <f>E200*(1+UF_Assumptions_2!E24)</f>
        <v>11654.277463101262</v>
      </c>
      <c r="G200" s="88">
        <f>F200*(1+UF_Assumptions_2!F24)</f>
        <v>12167.065671477718</v>
      </c>
      <c r="H200" s="88">
        <f>G200*(1+UF_Assumptions_2!G24)</f>
        <v>12702.416561022737</v>
      </c>
      <c r="I200" s="88">
        <f>H200*(1+UF_Assumptions_2!H24)</f>
        <v>13274.025306268759</v>
      </c>
      <c r="J200" s="88">
        <f>I200*(1+UF_Assumptions_2!I24)</f>
        <v>13871.356445050853</v>
      </c>
      <c r="K200" s="88">
        <f>J200*(1+UF_Assumptions_2!J24)</f>
        <v>14495.56748507814</v>
      </c>
      <c r="P200" s="269"/>
    </row>
    <row r="201" spans="1:16">
      <c r="A201" t="s">
        <v>11</v>
      </c>
      <c r="B201" s="88">
        <f t="shared" si="43"/>
        <v>5891.3022225153381</v>
      </c>
      <c r="C201" s="88">
        <f>B201*(1+UF_Assumptions_2!B25)</f>
        <v>6150.519520306013</v>
      </c>
      <c r="D201" s="88">
        <f>C201*(1+UF_Assumptions_2!C25)</f>
        <v>6433.4434182400901</v>
      </c>
      <c r="E201" s="88">
        <f>D201*(1+UF_Assumptions_2!D25)</f>
        <v>6722.9483720608932</v>
      </c>
      <c r="F201" s="88">
        <f>E201*(1+UF_Assumptions_2!E25)</f>
        <v>7018.7581004315725</v>
      </c>
      <c r="G201" s="88">
        <f>F201*(1+UF_Assumptions_2!F25)</f>
        <v>7327.5834568505616</v>
      </c>
      <c r="H201" s="88">
        <f>G201*(1+UF_Assumptions_2!G25)</f>
        <v>7649.9971289519863</v>
      </c>
      <c r="I201" s="88">
        <f>H201*(1+UF_Assumptions_2!H25)</f>
        <v>7994.2469997548251</v>
      </c>
      <c r="J201" s="88">
        <f>I201*(1+UF_Assumptions_2!I25)</f>
        <v>8353.9881147437918</v>
      </c>
      <c r="K201" s="88">
        <f>J201*(1+UF_Assumptions_2!J25)</f>
        <v>8729.9175799072618</v>
      </c>
      <c r="P201" s="269"/>
    </row>
    <row r="202" spans="1:16">
      <c r="A202" t="s">
        <v>13</v>
      </c>
      <c r="B202" s="88">
        <f t="shared" si="43"/>
        <v>13015.934321462773</v>
      </c>
      <c r="C202" s="88">
        <f t="shared" ref="C202:K202" si="44">C185</f>
        <v>13476.024721270978</v>
      </c>
      <c r="D202" s="88">
        <f t="shared" si="44"/>
        <v>13923.220163679234</v>
      </c>
      <c r="E202" s="88">
        <f t="shared" si="44"/>
        <v>14458.753862211928</v>
      </c>
      <c r="F202" s="88">
        <f t="shared" si="44"/>
        <v>15047.036138730071</v>
      </c>
      <c r="G202" s="88">
        <f t="shared" si="44"/>
        <v>15608.734786912868</v>
      </c>
      <c r="H202" s="88">
        <f t="shared" si="44"/>
        <v>16159.948137089295</v>
      </c>
      <c r="I202" s="88">
        <f t="shared" si="44"/>
        <v>16766.700865673727</v>
      </c>
      <c r="J202" s="88">
        <f t="shared" si="44"/>
        <v>17396.231249972214</v>
      </c>
      <c r="K202" s="88">
        <f t="shared" si="44"/>
        <v>18049.393987394586</v>
      </c>
      <c r="P202" s="269"/>
    </row>
    <row r="203" spans="1:16">
      <c r="A203" s="6" t="s">
        <v>71</v>
      </c>
      <c r="B203" s="88">
        <f t="shared" si="43"/>
        <v>28791.565066927964</v>
      </c>
      <c r="C203" s="88">
        <f>B203*(1+UF_Assumptions_2!B27)</f>
        <v>30058.393929872796</v>
      </c>
      <c r="D203" s="88">
        <f>C203*(1+UF_Assumptions_2!C27)</f>
        <v>31441.080050646946</v>
      </c>
      <c r="E203" s="88">
        <f>D203*(1+UF_Assumptions_2!D27)</f>
        <v>32855.928652926057</v>
      </c>
      <c r="F203" s="88">
        <f>E203*(1+UF_Assumptions_2!E27)</f>
        <v>34301.589513654806</v>
      </c>
      <c r="G203" s="88">
        <f>F203*(1+UF_Assumptions_2!F27)</f>
        <v>35810.859452255616</v>
      </c>
      <c r="H203" s="88">
        <f>G203*(1+UF_Assumptions_2!G27)</f>
        <v>37386.537268154862</v>
      </c>
      <c r="I203" s="88">
        <f>H203*(1+UF_Assumptions_2!H27)</f>
        <v>39068.931445221824</v>
      </c>
      <c r="J203" s="88">
        <f>I203*(1+UF_Assumptions_2!I27)</f>
        <v>40827.033360256806</v>
      </c>
      <c r="K203" s="88">
        <f>J203*(1+UF_Assumptions_2!J27)</f>
        <v>42664.249861468357</v>
      </c>
      <c r="P203" s="269"/>
    </row>
    <row r="204" spans="1:16">
      <c r="A204" s="6" t="s">
        <v>166</v>
      </c>
      <c r="B204" s="285">
        <f>B187*(SUM(B192:B201)/SUM(B175:B184))</f>
        <v>13788.70608193818</v>
      </c>
      <c r="C204" s="285">
        <f t="shared" ref="C204:K204" si="45">C187*(SUM(C192:C201)/SUM(C175:C184))</f>
        <v>14395.409149543459</v>
      </c>
      <c r="D204" s="285">
        <f t="shared" si="45"/>
        <v>15057.597970422461</v>
      </c>
      <c r="E204" s="285">
        <f t="shared" si="45"/>
        <v>15735.189879091471</v>
      </c>
      <c r="F204" s="285">
        <f t="shared" si="45"/>
        <v>16427.538233771498</v>
      </c>
      <c r="G204" s="285">
        <f t="shared" si="45"/>
        <v>17150.349916057447</v>
      </c>
      <c r="H204" s="285">
        <f t="shared" si="45"/>
        <v>17904.965312363976</v>
      </c>
      <c r="I204" s="285">
        <f t="shared" si="45"/>
        <v>18710.688751420348</v>
      </c>
      <c r="J204" s="285">
        <f t="shared" si="45"/>
        <v>19552.669745234263</v>
      </c>
      <c r="K204" s="285">
        <f t="shared" si="45"/>
        <v>20432.539883769801</v>
      </c>
      <c r="L204" s="299"/>
      <c r="M204" s="299"/>
      <c r="N204" s="261">
        <f>K204/(SUM(K192:K201)+K204)</f>
        <v>3.0000000000000002E-2</v>
      </c>
      <c r="P204" s="269"/>
    </row>
    <row r="205" spans="1:16">
      <c r="A205" s="212" t="s">
        <v>218</v>
      </c>
      <c r="B205" s="88">
        <f>B188</f>
        <v>2085.3611888863684</v>
      </c>
      <c r="C205" s="88">
        <f t="shared" ref="C205:K206" si="46">C170</f>
        <v>2085.3611888863684</v>
      </c>
      <c r="D205" s="88">
        <f t="shared" si="46"/>
        <v>2085.3611888863684</v>
      </c>
      <c r="E205" s="88">
        <f t="shared" si="46"/>
        <v>2085.3611888863684</v>
      </c>
      <c r="F205" s="88">
        <f t="shared" si="46"/>
        <v>2085.3611888863684</v>
      </c>
      <c r="G205" s="88">
        <f t="shared" si="46"/>
        <v>2085.3611888863684</v>
      </c>
      <c r="H205" s="88">
        <f t="shared" si="46"/>
        <v>2085.3611888863684</v>
      </c>
      <c r="I205" s="88">
        <f t="shared" si="46"/>
        <v>2085.3611888863684</v>
      </c>
      <c r="J205" s="88">
        <f t="shared" si="46"/>
        <v>2085.3611888863684</v>
      </c>
      <c r="K205" s="88">
        <f t="shared" si="46"/>
        <v>2085.3611888863684</v>
      </c>
      <c r="P205" s="269"/>
    </row>
    <row r="206" spans="1:16">
      <c r="A206" s="211" t="s">
        <v>276</v>
      </c>
      <c r="B206" s="88">
        <f>B171</f>
        <v>4902.4848588157956</v>
      </c>
      <c r="C206" s="88">
        <f t="shared" si="46"/>
        <v>5506.552242045861</v>
      </c>
      <c r="D206" s="88">
        <f t="shared" si="46"/>
        <v>5712.075687240942</v>
      </c>
      <c r="E206" s="88">
        <f t="shared" si="46"/>
        <v>5902.8047756031974</v>
      </c>
      <c r="F206" s="88">
        <f t="shared" si="46"/>
        <v>6077.6056308944699</v>
      </c>
      <c r="G206" s="88">
        <f t="shared" si="46"/>
        <v>6263.7425656943451</v>
      </c>
      <c r="H206" s="88">
        <f t="shared" si="46"/>
        <v>6452.5690717433672</v>
      </c>
      <c r="I206" s="88">
        <f t="shared" si="46"/>
        <v>6647.1972102670579</v>
      </c>
      <c r="J206" s="88">
        <f t="shared" si="46"/>
        <v>6841.4444262397956</v>
      </c>
      <c r="K206" s="88">
        <f t="shared" si="46"/>
        <v>7034.6234214260548</v>
      </c>
      <c r="P206" s="269"/>
    </row>
    <row r="207" spans="1:16">
      <c r="A207" s="6" t="s">
        <v>98</v>
      </c>
      <c r="B207" s="88">
        <f>SUM(B192:B206)</f>
        <v>508418.88150069892</v>
      </c>
      <c r="C207" s="88">
        <f t="shared" ref="C207:K207" si="47">SUM(C192:C206)</f>
        <v>530973.30373352463</v>
      </c>
      <c r="D207" s="88">
        <f t="shared" si="47"/>
        <v>555081.66943786875</v>
      </c>
      <c r="E207" s="88">
        <f t="shared" si="47"/>
        <v>579809.17778267665</v>
      </c>
      <c r="F207" s="88">
        <f t="shared" si="47"/>
        <v>605096.20026454888</v>
      </c>
      <c r="G207" s="88">
        <f t="shared" si="47"/>
        <v>631447.02852899744</v>
      </c>
      <c r="H207" s="88">
        <f t="shared" si="47"/>
        <v>658916.59274467302</v>
      </c>
      <c r="I207" s="88">
        <f t="shared" si="47"/>
        <v>688257.81575739395</v>
      </c>
      <c r="J207" s="88">
        <f t="shared" si="47"/>
        <v>718905.72839983064</v>
      </c>
      <c r="K207" s="88">
        <f t="shared" si="47"/>
        <v>750918.291251502</v>
      </c>
      <c r="L207" s="56">
        <f>(B207-B190)/$B$19</f>
        <v>0</v>
      </c>
      <c r="M207" s="56">
        <f>(K207-K190)/$K$19</f>
        <v>-9.679899561385176E-2</v>
      </c>
      <c r="P207" s="269"/>
    </row>
    <row r="208" spans="1:16" s="287" customFormat="1">
      <c r="A208" s="287" t="s">
        <v>98</v>
      </c>
      <c r="K208" s="288">
        <f>K207/K19-1</f>
        <v>-0.11700267583939505</v>
      </c>
      <c r="L208" s="301">
        <f>L173+L207</f>
        <v>-6.6026206835110207E-2</v>
      </c>
      <c r="M208" s="301">
        <f>M173+M207</f>
        <v>-0.16634066700377875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08"/>
  <sheetViews>
    <sheetView workbookViewId="0">
      <selection activeCell="D7" sqref="D7"/>
    </sheetView>
  </sheetViews>
  <sheetFormatPr defaultColWidth="8.81640625" defaultRowHeight="14.5"/>
  <cols>
    <col min="1" max="1" width="63.453125" bestFit="1" customWidth="1"/>
    <col min="2" max="2" width="19" bestFit="1" customWidth="1"/>
    <col min="3" max="11" width="10" bestFit="1" customWidth="1"/>
    <col min="12" max="13" width="11.7265625" style="56" bestFit="1" customWidth="1"/>
    <col min="14" max="14" width="15.81640625" customWidth="1"/>
    <col min="15" max="15" width="11.1796875" customWidth="1"/>
    <col min="16" max="16" width="12.453125" customWidth="1"/>
  </cols>
  <sheetData>
    <row r="1" spans="1:14">
      <c r="A1" s="313" t="s">
        <v>378</v>
      </c>
    </row>
    <row r="2" spans="1:14">
      <c r="A2" s="7" t="s">
        <v>313</v>
      </c>
      <c r="L2" s="56" t="s">
        <v>343</v>
      </c>
      <c r="M2" s="56" t="s">
        <v>344</v>
      </c>
      <c r="N2" t="s">
        <v>316</v>
      </c>
    </row>
    <row r="3" spans="1:14">
      <c r="B3">
        <v>2022</v>
      </c>
      <c r="C3">
        <v>2023</v>
      </c>
      <c r="D3">
        <v>2024</v>
      </c>
      <c r="E3">
        <v>2025</v>
      </c>
      <c r="F3">
        <v>2026</v>
      </c>
      <c r="G3">
        <v>2027</v>
      </c>
      <c r="H3">
        <v>2028</v>
      </c>
      <c r="I3">
        <v>2029</v>
      </c>
      <c r="J3">
        <v>2030</v>
      </c>
      <c r="K3">
        <v>2031</v>
      </c>
    </row>
    <row r="4" spans="1:14">
      <c r="A4" t="s">
        <v>4</v>
      </c>
      <c r="B4" s="13">
        <f>Baseline!J22</f>
        <v>159625.36908519344</v>
      </c>
      <c r="C4" s="13">
        <f>Baseline!K22</f>
        <v>169100.1431667142</v>
      </c>
      <c r="D4" s="13">
        <f>Baseline!L22</f>
        <v>178939.90936046341</v>
      </c>
      <c r="E4" s="13">
        <f>Baseline!M22</f>
        <v>189760.97312036945</v>
      </c>
      <c r="F4" s="13">
        <f>Baseline!N22</f>
        <v>201849.14932877882</v>
      </c>
      <c r="G4" s="13">
        <f>Baseline!O22</f>
        <v>213826.17371437998</v>
      </c>
      <c r="H4" s="13">
        <f>Baseline!P22</f>
        <v>226510.70725230203</v>
      </c>
      <c r="I4" s="13">
        <f>Baseline!Q22</f>
        <v>240226.25472700177</v>
      </c>
      <c r="J4" s="13">
        <f>Baseline!R22</f>
        <v>254772.24100852068</v>
      </c>
      <c r="K4" s="13">
        <f>Baseline!S22</f>
        <v>270198.93990744982</v>
      </c>
    </row>
    <row r="5" spans="1:14">
      <c r="A5" t="s">
        <v>5</v>
      </c>
      <c r="B5" s="13">
        <f>Baseline!J23</f>
        <v>116050.8649671637</v>
      </c>
      <c r="C5" s="13">
        <f>Baseline!K23</f>
        <v>122474.8573007146</v>
      </c>
      <c r="D5" s="13">
        <f>Baseline!L23</f>
        <v>129234.05509279952</v>
      </c>
      <c r="E5" s="13">
        <f>Baseline!M23</f>
        <v>136790.66473443585</v>
      </c>
      <c r="F5" s="13">
        <f>Baseline!N23</f>
        <v>144409.47189377464</v>
      </c>
      <c r="G5" s="13">
        <f>Baseline!O23</f>
        <v>152544.86011450438</v>
      </c>
      <c r="H5" s="13">
        <f>Baseline!P23</f>
        <v>161136.30794560839</v>
      </c>
      <c r="I5" s="13">
        <f>Baseline!Q23</f>
        <v>170141.21787946645</v>
      </c>
      <c r="J5" s="13">
        <f>Baseline!R23</f>
        <v>179649.31609143686</v>
      </c>
      <c r="K5" s="13">
        <f>Baseline!S23</f>
        <v>189688.71567750094</v>
      </c>
    </row>
    <row r="6" spans="1:14">
      <c r="A6" t="s">
        <v>6</v>
      </c>
      <c r="B6" s="13">
        <f>Baseline!J24</f>
        <v>13214.904741473663</v>
      </c>
      <c r="C6" s="13">
        <f>Baseline!K24</f>
        <v>13946.4154180365</v>
      </c>
      <c r="D6" s="13">
        <f>Baseline!L24</f>
        <v>14716.09649690183</v>
      </c>
      <c r="E6" s="13">
        <f>Baseline!M24</f>
        <v>15517.689525153992</v>
      </c>
      <c r="F6" s="13">
        <f>Baseline!N24</f>
        <v>16366.447787771269</v>
      </c>
      <c r="G6" s="13">
        <f>Baseline!O24</f>
        <v>17272.089112584275</v>
      </c>
      <c r="H6" s="13">
        <f>Baseline!P24</f>
        <v>18210.312234652982</v>
      </c>
      <c r="I6" s="13">
        <f>Baseline!Q24</f>
        <v>19203.688353271264</v>
      </c>
      <c r="J6" s="13">
        <f>Baseline!R24</f>
        <v>20251.248786461161</v>
      </c>
      <c r="K6" s="13">
        <f>Baseline!S24</f>
        <v>21355.948524973879</v>
      </c>
    </row>
    <row r="7" spans="1:14">
      <c r="A7" t="s">
        <v>7</v>
      </c>
      <c r="B7" s="13">
        <f>Baseline!J25</f>
        <v>20748.242731869101</v>
      </c>
      <c r="C7" s="13">
        <f>Baseline!K25</f>
        <v>21668.453656984439</v>
      </c>
      <c r="D7" s="13">
        <f>Baseline!L25</f>
        <v>22625.906506454136</v>
      </c>
      <c r="E7" s="13">
        <f>Baseline!M25</f>
        <v>23631.990719503716</v>
      </c>
      <c r="F7" s="13">
        <f>Baseline!N25</f>
        <v>24688.094222345684</v>
      </c>
      <c r="G7" s="13">
        <f>Baseline!O25</f>
        <v>25757.864583768816</v>
      </c>
      <c r="H7" s="13">
        <f>Baseline!P25</f>
        <v>26873.614038626438</v>
      </c>
      <c r="I7" s="13">
        <f>Baseline!Q25</f>
        <v>28043.904418972677</v>
      </c>
      <c r="J7" s="13">
        <f>Baseline!R25</f>
        <v>29265.15195518715</v>
      </c>
      <c r="K7" s="13">
        <f>Baseline!S25</f>
        <v>30539.574756058875</v>
      </c>
    </row>
    <row r="8" spans="1:14">
      <c r="A8" t="s">
        <v>8</v>
      </c>
      <c r="B8" s="13">
        <f>Baseline!J26</f>
        <v>28689.635954420595</v>
      </c>
      <c r="C8" s="13">
        <f>Baseline!K26</f>
        <v>30335.148515759727</v>
      </c>
      <c r="D8" s="13">
        <f>Baseline!L26</f>
        <v>31948.617271280385</v>
      </c>
      <c r="E8" s="13">
        <f>Baseline!M26</f>
        <v>33784.762834506182</v>
      </c>
      <c r="F8" s="13">
        <f>Baseline!N26</f>
        <v>35734.081370261993</v>
      </c>
      <c r="G8" s="13">
        <f>Baseline!O26</f>
        <v>37782.926230403427</v>
      </c>
      <c r="H8" s="13">
        <f>Baseline!P26</f>
        <v>39910.890682114885</v>
      </c>
      <c r="I8" s="13">
        <f>Baseline!Q26</f>
        <v>42181.182194971159</v>
      </c>
      <c r="J8" s="13">
        <f>Baseline!R26</f>
        <v>44580.606980834782</v>
      </c>
      <c r="K8" s="13">
        <f>Baseline!S26</f>
        <v>47116.508905555907</v>
      </c>
    </row>
    <row r="9" spans="1:14">
      <c r="A9" t="s">
        <v>9</v>
      </c>
      <c r="B9" s="13">
        <f>Baseline!J27</f>
        <v>18574.742866293738</v>
      </c>
      <c r="C9" s="13">
        <f>Baseline!K27</f>
        <v>19918.824104792944</v>
      </c>
      <c r="D9" s="13">
        <f>Baseline!L27</f>
        <v>21316.948906552647</v>
      </c>
      <c r="E9" s="13">
        <f>Baseline!M27</f>
        <v>22840.643515518419</v>
      </c>
      <c r="F9" s="13">
        <f>Baseline!N27</f>
        <v>24455.631030424964</v>
      </c>
      <c r="G9" s="13">
        <f>Baseline!O27</f>
        <v>26224.767091935781</v>
      </c>
      <c r="H9" s="13">
        <f>Baseline!P27</f>
        <v>28121.490569323119</v>
      </c>
      <c r="I9" s="13">
        <f>Baseline!Q27</f>
        <v>30133.687089869396</v>
      </c>
      <c r="J9" s="13">
        <f>Baseline!R27</f>
        <v>32289.856451626969</v>
      </c>
      <c r="K9" s="13">
        <f>Baseline!S27</f>
        <v>34600.298954835205</v>
      </c>
    </row>
    <row r="10" spans="1:14">
      <c r="A10" t="s">
        <v>10</v>
      </c>
      <c r="B10" s="13">
        <f>Baseline!J28</f>
        <v>19314.903208446871</v>
      </c>
      <c r="C10" s="13">
        <f>Baseline!K28</f>
        <v>20248.829312751863</v>
      </c>
      <c r="D10" s="13">
        <f>Baseline!L28</f>
        <v>21163.806395663054</v>
      </c>
      <c r="E10" s="13">
        <f>Baseline!M28</f>
        <v>22126.050076564541</v>
      </c>
      <c r="F10" s="13">
        <f>Baseline!N28</f>
        <v>23181.275733174672</v>
      </c>
      <c r="G10" s="13">
        <f>Baseline!O28</f>
        <v>24324.88535007407</v>
      </c>
      <c r="H10" s="13">
        <f>Baseline!P28</f>
        <v>25597.553137678322</v>
      </c>
      <c r="I10" s="13">
        <f>Baseline!Q28</f>
        <v>26865.890611128772</v>
      </c>
      <c r="J10" s="13">
        <f>Baseline!R28</f>
        <v>28197.066818839965</v>
      </c>
      <c r="K10" s="13">
        <f>Baseline!S28</f>
        <v>29594.194354944852</v>
      </c>
    </row>
    <row r="11" spans="1:14">
      <c r="A11" t="s">
        <v>18</v>
      </c>
      <c r="B11" s="13">
        <f>Baseline!J29</f>
        <v>43283.768889341547</v>
      </c>
      <c r="C11" s="13">
        <f>Baseline!K29</f>
        <v>45809.635683843742</v>
      </c>
      <c r="D11" s="13">
        <f>Baseline!L29</f>
        <v>48521.06984137556</v>
      </c>
      <c r="E11" s="13">
        <f>Baseline!M29</f>
        <v>51358.207342961832</v>
      </c>
      <c r="F11" s="13">
        <f>Baseline!N29</f>
        <v>54475.65762096009</v>
      </c>
      <c r="G11" s="13">
        <f>Baseline!O29</f>
        <v>57762.546077953564</v>
      </c>
      <c r="H11" s="13">
        <f>Baseline!P29</f>
        <v>61189.118888166522</v>
      </c>
      <c r="I11" s="13">
        <f>Baseline!Q29</f>
        <v>64853.406465689412</v>
      </c>
      <c r="J11" s="13">
        <f>Baseline!R29</f>
        <v>68737.11310099042</v>
      </c>
      <c r="K11" s="13">
        <f>Baseline!S29</f>
        <v>72853.375825008727</v>
      </c>
    </row>
    <row r="12" spans="1:14">
      <c r="A12" t="s">
        <v>16</v>
      </c>
      <c r="B12" s="13">
        <f>Baseline!J30</f>
        <v>9637.1769998811087</v>
      </c>
      <c r="C12" s="13">
        <f>Baseline!K30</f>
        <v>10083.87888270471</v>
      </c>
      <c r="D12" s="13">
        <f>Baseline!L30</f>
        <v>10559.707107985336</v>
      </c>
      <c r="E12" s="13">
        <f>Baseline!M30</f>
        <v>11060.948612131126</v>
      </c>
      <c r="F12" s="13">
        <f>Baseline!N30</f>
        <v>11588.462412451476</v>
      </c>
      <c r="G12" s="13">
        <f>Baseline!O30</f>
        <v>12148.56775369268</v>
      </c>
      <c r="H12" s="13">
        <f>Baseline!P30</f>
        <v>12735.566684289943</v>
      </c>
      <c r="I12" s="13">
        <f>Baseline!Q30</f>
        <v>13345.373113401587</v>
      </c>
      <c r="J12" s="13">
        <f>Baseline!R30</f>
        <v>13984.375250099914</v>
      </c>
      <c r="K12" s="13">
        <f>Baseline!S30</f>
        <v>14653.970556324568</v>
      </c>
    </row>
    <row r="13" spans="1:14">
      <c r="A13" t="s">
        <v>11</v>
      </c>
      <c r="B13" s="13">
        <f>Baseline!J31</f>
        <v>5567.7527166346454</v>
      </c>
      <c r="C13" s="13">
        <f>Baseline!K31</f>
        <v>5898.23401440212</v>
      </c>
      <c r="D13" s="13">
        <f>Baseline!L31</f>
        <v>6247.34557001762</v>
      </c>
      <c r="E13" s="13">
        <f>Baseline!M31</f>
        <v>6618.8922334431563</v>
      </c>
      <c r="F13" s="13">
        <f>Baseline!N31</f>
        <v>7014.036641982756</v>
      </c>
      <c r="G13" s="13">
        <f>Baseline!O31</f>
        <v>7444.2576392729952</v>
      </c>
      <c r="H13" s="13">
        <f>Baseline!P31</f>
        <v>7863.524149472707</v>
      </c>
      <c r="I13" s="13">
        <f>Baseline!Q31</f>
        <v>8326.5632206017526</v>
      </c>
      <c r="J13" s="13">
        <f>Baseline!R31</f>
        <v>8816.8660993801132</v>
      </c>
      <c r="K13" s="13">
        <f>Baseline!S31</f>
        <v>9336.0378445872284</v>
      </c>
    </row>
    <row r="14" spans="1:14">
      <c r="A14" t="s">
        <v>13</v>
      </c>
      <c r="B14" s="17">
        <f>Baseline!J35</f>
        <v>13015.934321462773</v>
      </c>
      <c r="C14" s="17">
        <f>Baseline!K35</f>
        <v>13476.024721270978</v>
      </c>
      <c r="D14" s="17">
        <f>Baseline!L35</f>
        <v>13923.220163679234</v>
      </c>
      <c r="E14" s="17">
        <f>Baseline!M35</f>
        <v>14458.753862211928</v>
      </c>
      <c r="F14" s="17">
        <f>Baseline!N35</f>
        <v>15047.036138730071</v>
      </c>
      <c r="G14" s="17">
        <f>Baseline!O35</f>
        <v>15608.734786912868</v>
      </c>
      <c r="H14" s="17">
        <f>Baseline!P35</f>
        <v>16159.948137089295</v>
      </c>
      <c r="I14" s="17">
        <f>Baseline!Q35</f>
        <v>16766.700865673727</v>
      </c>
      <c r="J14" s="17">
        <f>Baseline!R35</f>
        <v>17396.231249972214</v>
      </c>
      <c r="K14" s="17">
        <f>Baseline!S35</f>
        <v>18049.393987394586</v>
      </c>
      <c r="L14" s="299"/>
    </row>
    <row r="15" spans="1:14">
      <c r="A15" s="6" t="s">
        <v>71</v>
      </c>
      <c r="B15" s="17">
        <f>Baseline!J36</f>
        <v>28791.565066927964</v>
      </c>
      <c r="C15" s="17">
        <f>Baseline!K36</f>
        <v>30298.917575967578</v>
      </c>
      <c r="D15" s="17">
        <f>Baseline!L36</f>
        <v>31880.154947029732</v>
      </c>
      <c r="E15" s="17">
        <f>Baseline!M36</f>
        <v>33584.788311616554</v>
      </c>
      <c r="F15" s="17">
        <f>Baseline!N36</f>
        <v>35388.140800757341</v>
      </c>
      <c r="G15" s="17">
        <f>Baseline!O36</f>
        <v>37275.55331184082</v>
      </c>
      <c r="H15" s="17">
        <f>Baseline!P36</f>
        <v>39225.794609276592</v>
      </c>
      <c r="I15" s="17">
        <f>Baseline!Q36</f>
        <v>41300.179658613044</v>
      </c>
      <c r="J15" s="17">
        <f>Baseline!R36</f>
        <v>43484.255035020928</v>
      </c>
      <c r="K15" s="17">
        <f>Baseline!S36</f>
        <v>45783.819883571348</v>
      </c>
      <c r="L15" s="299"/>
    </row>
    <row r="16" spans="1:14">
      <c r="A16" s="6" t="s">
        <v>166</v>
      </c>
      <c r="B16" s="281">
        <f>Baseline!J32</f>
        <v>40491.407184044234</v>
      </c>
      <c r="C16" s="281">
        <f>Baseline!K32</f>
        <v>42831.099166405227</v>
      </c>
      <c r="D16" s="281">
        <f>Baseline!L32</f>
        <v>45221.211699974061</v>
      </c>
      <c r="E16" s="281">
        <f>Baseline!M32</f>
        <v>47776.124905161938</v>
      </c>
      <c r="F16" s="281">
        <f>Baseline!N32</f>
        <v>50517.397285653293</v>
      </c>
      <c r="G16" s="281">
        <f>Baseline!O32</f>
        <v>53438.999426354909</v>
      </c>
      <c r="H16" s="281">
        <f>Baseline!P32</f>
        <v>56442.84598766367</v>
      </c>
      <c r="I16" s="281">
        <f>Baseline!Q32</f>
        <v>59657.080290029167</v>
      </c>
      <c r="J16" s="281">
        <f>Baseline!R32</f>
        <v>63055.54965748133</v>
      </c>
      <c r="K16" s="281">
        <f>Baseline!S32</f>
        <v>66648.888814944497</v>
      </c>
      <c r="L16" s="300"/>
      <c r="N16" s="269">
        <f>K16/(SUM(K4:K13)+K16)</f>
        <v>8.4731803434529504E-2</v>
      </c>
    </row>
    <row r="17" spans="1:11">
      <c r="A17" s="212" t="s">
        <v>218</v>
      </c>
      <c r="B17" s="13">
        <v>0</v>
      </c>
      <c r="C17" s="13">
        <v>0</v>
      </c>
      <c r="D17" s="13">
        <v>0</v>
      </c>
      <c r="E17" s="13">
        <v>0</v>
      </c>
      <c r="F17" s="13">
        <v>0</v>
      </c>
      <c r="G17" s="13">
        <v>0</v>
      </c>
      <c r="H17" s="13">
        <v>0</v>
      </c>
      <c r="I17" s="13">
        <v>0</v>
      </c>
      <c r="J17" s="13">
        <v>0</v>
      </c>
      <c r="K17" s="13">
        <v>0</v>
      </c>
    </row>
    <row r="18" spans="1:11">
      <c r="A18" s="211" t="s">
        <v>276</v>
      </c>
      <c r="B18" s="13">
        <v>0</v>
      </c>
      <c r="C18" s="13">
        <v>0</v>
      </c>
      <c r="D18" s="13">
        <v>0</v>
      </c>
      <c r="E18" s="13">
        <v>0</v>
      </c>
      <c r="F18" s="13">
        <v>0</v>
      </c>
      <c r="G18" s="13">
        <v>0</v>
      </c>
      <c r="H18" s="13">
        <v>0</v>
      </c>
      <c r="I18" s="13">
        <v>0</v>
      </c>
      <c r="J18" s="13">
        <v>0</v>
      </c>
      <c r="K18" s="13">
        <v>0</v>
      </c>
    </row>
    <row r="19" spans="1:11">
      <c r="A19" s="6" t="s">
        <v>98</v>
      </c>
      <c r="B19" s="13">
        <f>SUM(B4:B18)</f>
        <v>517006.26873315347</v>
      </c>
      <c r="C19" s="13">
        <f t="shared" ref="C19:K19" si="0">SUM(C4:C18)</f>
        <v>546090.46152034868</v>
      </c>
      <c r="D19" s="13">
        <f t="shared" si="0"/>
        <v>576298.04936017655</v>
      </c>
      <c r="E19" s="13">
        <f t="shared" si="0"/>
        <v>609310.48979357863</v>
      </c>
      <c r="F19" s="13">
        <f t="shared" si="0"/>
        <v>644714.88226706709</v>
      </c>
      <c r="G19" s="13">
        <f t="shared" si="0"/>
        <v>681412.22519367852</v>
      </c>
      <c r="H19" s="13">
        <f t="shared" si="0"/>
        <v>719977.67431626492</v>
      </c>
      <c r="I19" s="13">
        <f t="shared" si="0"/>
        <v>761045.12888869026</v>
      </c>
      <c r="J19" s="13">
        <f t="shared" si="0"/>
        <v>804479.8784858525</v>
      </c>
      <c r="K19" s="13">
        <f t="shared" si="0"/>
        <v>850419.66799315054</v>
      </c>
    </row>
    <row r="20" spans="1:11">
      <c r="A20" s="210" t="s">
        <v>340</v>
      </c>
    </row>
    <row r="21" spans="1:11">
      <c r="A21" t="s">
        <v>4</v>
      </c>
      <c r="B21" s="88">
        <f>B4*UF_Assumptions_1!$B4</f>
        <v>160982.18472241759</v>
      </c>
      <c r="C21" s="88">
        <f>C4*UF_Assumptions_1!$B4</f>
        <v>170537.49438363127</v>
      </c>
      <c r="D21" s="88">
        <f>D4*UF_Assumptions_1!$B4</f>
        <v>180460.89859002735</v>
      </c>
      <c r="E21" s="88">
        <f>E4*UF_Assumptions_1!$B4</f>
        <v>191373.94139189259</v>
      </c>
      <c r="F21" s="88">
        <f>F4*UF_Assumptions_1!$B4</f>
        <v>203564.86709807342</v>
      </c>
      <c r="G21" s="88">
        <f>G4*UF_Assumptions_1!$B4</f>
        <v>215643.69619095221</v>
      </c>
      <c r="H21" s="88">
        <f>H4*UF_Assumptions_1!$B4</f>
        <v>228436.04826394658</v>
      </c>
      <c r="I21" s="88">
        <f>I4*UF_Assumptions_1!$B4</f>
        <v>242268.17789218127</v>
      </c>
      <c r="J21" s="88">
        <f>J4*UF_Assumptions_1!$B4</f>
        <v>256937.80505709309</v>
      </c>
      <c r="K21" s="88">
        <f>K4*UF_Assumptions_1!$B4</f>
        <v>272495.63089666312</v>
      </c>
    </row>
    <row r="22" spans="1:11">
      <c r="A22" t="s">
        <v>5</v>
      </c>
      <c r="B22" s="88">
        <f>B5*UF_Assumptions_1!$B5</f>
        <v>118023.72967160547</v>
      </c>
      <c r="C22" s="88">
        <f>C5*UF_Assumptions_1!$B5</f>
        <v>124556.92987482675</v>
      </c>
      <c r="D22" s="88">
        <f>D5*UF_Assumptions_1!$B5</f>
        <v>131431.0340293771</v>
      </c>
      <c r="E22" s="88">
        <f>E5*UF_Assumptions_1!$B5</f>
        <v>139116.10603492125</v>
      </c>
      <c r="F22" s="88">
        <f>F5*UF_Assumptions_1!$B5</f>
        <v>146864.43291596879</v>
      </c>
      <c r="G22" s="88">
        <f>G5*UF_Assumptions_1!$B5</f>
        <v>155138.12273645093</v>
      </c>
      <c r="H22" s="88">
        <f>H5*UF_Assumptions_1!$B5</f>
        <v>163875.62518068371</v>
      </c>
      <c r="I22" s="88">
        <f>I5*UF_Assumptions_1!$B5</f>
        <v>173033.61858341735</v>
      </c>
      <c r="J22" s="88">
        <f>J5*UF_Assumptions_1!$B5</f>
        <v>182703.35446499128</v>
      </c>
      <c r="K22" s="88">
        <f>K5*UF_Assumptions_1!$B5</f>
        <v>192913.42384401843</v>
      </c>
    </row>
    <row r="23" spans="1:11">
      <c r="A23" t="s">
        <v>6</v>
      </c>
      <c r="B23" s="88">
        <f>B6*UF_Assumptions_1!$B6</f>
        <v>13439.558122078713</v>
      </c>
      <c r="C23" s="88">
        <f>C6*UF_Assumptions_1!$B6</f>
        <v>14183.50448014312</v>
      </c>
      <c r="D23" s="88">
        <f>D6*UF_Assumptions_1!$B6</f>
        <v>14966.27013734916</v>
      </c>
      <c r="E23" s="88">
        <f>E6*UF_Assumptions_1!$B6</f>
        <v>15781.490247081609</v>
      </c>
      <c r="F23" s="88">
        <f>F6*UF_Assumptions_1!$B6</f>
        <v>16644.677400163378</v>
      </c>
      <c r="G23" s="88">
        <f>G6*UF_Assumptions_1!$B6</f>
        <v>17565.714627498208</v>
      </c>
      <c r="H23" s="88">
        <f>H6*UF_Assumptions_1!$B6</f>
        <v>18519.887542642082</v>
      </c>
      <c r="I23" s="88">
        <f>I6*UF_Assumptions_1!$B6</f>
        <v>19530.151055276874</v>
      </c>
      <c r="J23" s="88">
        <f>J6*UF_Assumptions_1!$B6</f>
        <v>20595.520015831</v>
      </c>
      <c r="K23" s="88">
        <f>K6*UF_Assumptions_1!$B6</f>
        <v>21718.999649898433</v>
      </c>
    </row>
    <row r="24" spans="1:11">
      <c r="A24" t="s">
        <v>7</v>
      </c>
      <c r="B24" s="88">
        <f>B7*UF_Assumptions_1!$B7</f>
        <v>21100.962858310875</v>
      </c>
      <c r="C24" s="88">
        <f>C7*UF_Assumptions_1!$B7</f>
        <v>22036.81736915317</v>
      </c>
      <c r="D24" s="88">
        <f>D7*UF_Assumptions_1!$B7</f>
        <v>23010.546917063853</v>
      </c>
      <c r="E24" s="88">
        <f>E7*UF_Assumptions_1!$B7</f>
        <v>24033.734561735277</v>
      </c>
      <c r="F24" s="88">
        <f>F7*UF_Assumptions_1!$B7</f>
        <v>25107.791824125557</v>
      </c>
      <c r="G24" s="88">
        <f>G7*UF_Assumptions_1!$B7</f>
        <v>26195.748281692882</v>
      </c>
      <c r="H24" s="88">
        <f>H7*UF_Assumptions_1!$B7</f>
        <v>27330.465477283084</v>
      </c>
      <c r="I24" s="88">
        <f>I7*UF_Assumptions_1!$B7</f>
        <v>28520.650794095211</v>
      </c>
      <c r="J24" s="88">
        <f>J7*UF_Assumptions_1!$B7</f>
        <v>29762.659538425327</v>
      </c>
      <c r="K24" s="88">
        <f>K7*UF_Assumptions_1!$B7</f>
        <v>31058.747526911873</v>
      </c>
    </row>
    <row r="25" spans="1:11">
      <c r="A25" t="s">
        <v>8</v>
      </c>
      <c r="B25" s="88">
        <f>B8*UF_Assumptions_1!$B8</f>
        <v>28689.635954420595</v>
      </c>
      <c r="C25" s="88">
        <f>C8*UF_Assumptions_1!$B8</f>
        <v>30335.148515759727</v>
      </c>
      <c r="D25" s="88">
        <f>D8*UF_Assumptions_1!$B8</f>
        <v>31948.617271280385</v>
      </c>
      <c r="E25" s="88">
        <f>E8*UF_Assumptions_1!$B8</f>
        <v>33784.762834506182</v>
      </c>
      <c r="F25" s="88">
        <f>F8*UF_Assumptions_1!$B8</f>
        <v>35734.081370261993</v>
      </c>
      <c r="G25" s="88">
        <f>G8*UF_Assumptions_1!$B8</f>
        <v>37782.926230403427</v>
      </c>
      <c r="H25" s="88">
        <f>H8*UF_Assumptions_1!$B8</f>
        <v>39910.890682114885</v>
      </c>
      <c r="I25" s="88">
        <f>I8*UF_Assumptions_1!$B8</f>
        <v>42181.182194971159</v>
      </c>
      <c r="J25" s="88">
        <f>J8*UF_Assumptions_1!$B8</f>
        <v>44580.606980834782</v>
      </c>
      <c r="K25" s="88">
        <f>K8*UF_Assumptions_1!$B8</f>
        <v>47116.508905555907</v>
      </c>
    </row>
    <row r="26" spans="1:11">
      <c r="A26" t="s">
        <v>9</v>
      </c>
      <c r="B26" s="88">
        <f>B9*UF_Assumptions_1!$B9</f>
        <v>18890.513495020728</v>
      </c>
      <c r="C26" s="88">
        <f>C9*UF_Assumptions_1!$B9</f>
        <v>20257.444114574424</v>
      </c>
      <c r="D26" s="88">
        <f>D9*UF_Assumptions_1!$B9</f>
        <v>21679.33703796404</v>
      </c>
      <c r="E26" s="88">
        <f>E9*UF_Assumptions_1!$B9</f>
        <v>23228.934455282229</v>
      </c>
      <c r="F26" s="88">
        <f>F9*UF_Assumptions_1!$B9</f>
        <v>24871.376757942187</v>
      </c>
      <c r="G26" s="88">
        <f>G9*UF_Assumptions_1!$B9</f>
        <v>26670.588132498688</v>
      </c>
      <c r="H26" s="88">
        <f>H9*UF_Assumptions_1!$B9</f>
        <v>28599.55590900161</v>
      </c>
      <c r="I26" s="88">
        <f>I9*UF_Assumptions_1!$B9</f>
        <v>30645.959770397174</v>
      </c>
      <c r="J26" s="88">
        <f>J9*UF_Assumptions_1!$B9</f>
        <v>32838.784011304626</v>
      </c>
      <c r="K26" s="88">
        <f>K9*UF_Assumptions_1!$B9</f>
        <v>35188.504037067403</v>
      </c>
    </row>
    <row r="27" spans="1:11">
      <c r="A27" t="s">
        <v>10</v>
      </c>
      <c r="B27" s="88">
        <f>B10*UF_Assumptions_1!$B10</f>
        <v>19314.903208446871</v>
      </c>
      <c r="C27" s="88">
        <f>C10*UF_Assumptions_1!$B10</f>
        <v>20248.829312751863</v>
      </c>
      <c r="D27" s="88">
        <f>D10*UF_Assumptions_1!$B10</f>
        <v>21163.806395663054</v>
      </c>
      <c r="E27" s="88">
        <f>E10*UF_Assumptions_1!$B10</f>
        <v>22126.050076564541</v>
      </c>
      <c r="F27" s="88">
        <f>F10*UF_Assumptions_1!$B10</f>
        <v>23181.275733174672</v>
      </c>
      <c r="G27" s="88">
        <f>G10*UF_Assumptions_1!$B10</f>
        <v>24324.88535007407</v>
      </c>
      <c r="H27" s="88">
        <f>H10*UF_Assumptions_1!$B10</f>
        <v>25597.553137678322</v>
      </c>
      <c r="I27" s="88">
        <f>I10*UF_Assumptions_1!$B10</f>
        <v>26865.890611128772</v>
      </c>
      <c r="J27" s="88">
        <f>J10*UF_Assumptions_1!$B10</f>
        <v>28197.066818839965</v>
      </c>
      <c r="K27" s="88">
        <f>K10*UF_Assumptions_1!$B10</f>
        <v>29594.194354944852</v>
      </c>
    </row>
    <row r="28" spans="1:11">
      <c r="A28" t="s">
        <v>18</v>
      </c>
      <c r="B28" s="88">
        <f>B11*UF_Assumptions_1!$B11</f>
        <v>44019.592960460352</v>
      </c>
      <c r="C28" s="88">
        <f>C11*UF_Assumptions_1!$B11</f>
        <v>46588.399490469084</v>
      </c>
      <c r="D28" s="88">
        <f>D11*UF_Assumptions_1!$B11</f>
        <v>49345.928028678936</v>
      </c>
      <c r="E28" s="88">
        <f>E11*UF_Assumptions_1!$B11</f>
        <v>52231.296867792182</v>
      </c>
      <c r="F28" s="88">
        <f>F11*UF_Assumptions_1!$B11</f>
        <v>55401.743800516408</v>
      </c>
      <c r="G28" s="88">
        <f>G11*UF_Assumptions_1!$B11</f>
        <v>58744.509361278768</v>
      </c>
      <c r="H28" s="88">
        <f>H11*UF_Assumptions_1!$B11</f>
        <v>62229.333909265348</v>
      </c>
      <c r="I28" s="88">
        <f>I11*UF_Assumptions_1!$B11</f>
        <v>65955.914375606124</v>
      </c>
      <c r="J28" s="88">
        <f>J11*UF_Assumptions_1!$B11</f>
        <v>69905.644023707253</v>
      </c>
      <c r="K28" s="88">
        <f>K11*UF_Assumptions_1!$B11</f>
        <v>74091.883214033864</v>
      </c>
    </row>
    <row r="29" spans="1:11">
      <c r="A29" t="s">
        <v>16</v>
      </c>
      <c r="B29" s="88">
        <f>B12*UF_Assumptions_1!$B12</f>
        <v>9637.1769998811087</v>
      </c>
      <c r="C29" s="88">
        <f>C12*UF_Assumptions_1!$B12</f>
        <v>10083.87888270471</v>
      </c>
      <c r="D29" s="88">
        <f>D12*UF_Assumptions_1!$B12</f>
        <v>10559.707107985336</v>
      </c>
      <c r="E29" s="88">
        <f>E12*UF_Assumptions_1!$B12</f>
        <v>11060.948612131126</v>
      </c>
      <c r="F29" s="88">
        <f>F12*UF_Assumptions_1!$B12</f>
        <v>11588.462412451476</v>
      </c>
      <c r="G29" s="88">
        <f>G12*UF_Assumptions_1!$B12</f>
        <v>12148.56775369268</v>
      </c>
      <c r="H29" s="88">
        <f>H12*UF_Assumptions_1!$B12</f>
        <v>12735.566684289943</v>
      </c>
      <c r="I29" s="88">
        <f>I12*UF_Assumptions_1!$B12</f>
        <v>13345.373113401587</v>
      </c>
      <c r="J29" s="88">
        <f>J12*UF_Assumptions_1!$B12</f>
        <v>13984.375250099914</v>
      </c>
      <c r="K29" s="88">
        <f>K12*UF_Assumptions_1!$B12</f>
        <v>14653.970556324568</v>
      </c>
    </row>
    <row r="30" spans="1:11">
      <c r="A30" t="s">
        <v>11</v>
      </c>
      <c r="B30" s="88">
        <f>B13*UF_Assumptions_1!$B13</f>
        <v>5662.4045128174339</v>
      </c>
      <c r="C30" s="88">
        <f>C13*UF_Assumptions_1!$B13</f>
        <v>5998.5039926469553</v>
      </c>
      <c r="D30" s="88">
        <f>D13*UF_Assumptions_1!$B13</f>
        <v>6353.5504447079193</v>
      </c>
      <c r="E30" s="88">
        <f>E13*UF_Assumptions_1!$B13</f>
        <v>6731.4134014116889</v>
      </c>
      <c r="F30" s="88">
        <f>F13*UF_Assumptions_1!$B13</f>
        <v>7133.2752648964624</v>
      </c>
      <c r="G30" s="88">
        <f>G13*UF_Assumptions_1!$B13</f>
        <v>7570.8100191406356</v>
      </c>
      <c r="H30" s="88">
        <f>H13*UF_Assumptions_1!$B13</f>
        <v>7997.2040600137425</v>
      </c>
      <c r="I30" s="88">
        <f>I13*UF_Assumptions_1!$B13</f>
        <v>8468.1147953519812</v>
      </c>
      <c r="J30" s="88">
        <f>J13*UF_Assumptions_1!$B13</f>
        <v>8966.7528230695734</v>
      </c>
      <c r="K30" s="88">
        <f>K13*UF_Assumptions_1!$B13</f>
        <v>9494.7504879452099</v>
      </c>
    </row>
    <row r="31" spans="1:11">
      <c r="A31" t="s">
        <v>13</v>
      </c>
      <c r="B31" s="88">
        <f>B14</f>
        <v>13015.934321462773</v>
      </c>
      <c r="C31" s="88">
        <f t="shared" ref="C31:K32" si="1">C14</f>
        <v>13476.024721270978</v>
      </c>
      <c r="D31" s="88">
        <f t="shared" si="1"/>
        <v>13923.220163679234</v>
      </c>
      <c r="E31" s="88">
        <f t="shared" si="1"/>
        <v>14458.753862211928</v>
      </c>
      <c r="F31" s="88">
        <f t="shared" si="1"/>
        <v>15047.036138730071</v>
      </c>
      <c r="G31" s="88">
        <f t="shared" si="1"/>
        <v>15608.734786912868</v>
      </c>
      <c r="H31" s="88">
        <f t="shared" si="1"/>
        <v>16159.948137089295</v>
      </c>
      <c r="I31" s="88">
        <f t="shared" si="1"/>
        <v>16766.700865673727</v>
      </c>
      <c r="J31" s="88">
        <f t="shared" si="1"/>
        <v>17396.231249972214</v>
      </c>
      <c r="K31" s="88">
        <f t="shared" si="1"/>
        <v>18049.393987394586</v>
      </c>
    </row>
    <row r="32" spans="1:11">
      <c r="A32" s="6" t="s">
        <v>71</v>
      </c>
      <c r="B32" s="88">
        <f>B15</f>
        <v>28791.565066927964</v>
      </c>
      <c r="C32" s="88">
        <f t="shared" si="1"/>
        <v>30298.917575967578</v>
      </c>
      <c r="D32" s="88">
        <f t="shared" si="1"/>
        <v>31880.154947029732</v>
      </c>
      <c r="E32" s="88">
        <f t="shared" si="1"/>
        <v>33584.788311616554</v>
      </c>
      <c r="F32" s="88">
        <f t="shared" si="1"/>
        <v>35388.140800757341</v>
      </c>
      <c r="G32" s="88">
        <f t="shared" si="1"/>
        <v>37275.55331184082</v>
      </c>
      <c r="H32" s="88">
        <f t="shared" si="1"/>
        <v>39225.794609276592</v>
      </c>
      <c r="I32" s="88">
        <f t="shared" si="1"/>
        <v>41300.179658613044</v>
      </c>
      <c r="J32" s="88">
        <f t="shared" si="1"/>
        <v>43484.255035020928</v>
      </c>
      <c r="K32" s="88">
        <f t="shared" si="1"/>
        <v>45783.819883571348</v>
      </c>
    </row>
    <row r="33" spans="1:16">
      <c r="A33" s="6" t="s">
        <v>166</v>
      </c>
      <c r="B33" s="88">
        <f>B16*(SUM(B21:B30)/SUM(B4:B13))</f>
        <v>40962.103702421904</v>
      </c>
      <c r="C33" s="88">
        <f t="shared" ref="C33:K33" si="2">C16*(SUM(C21:C30)/SUM(C4:C13))</f>
        <v>43329.106144788893</v>
      </c>
      <c r="D33" s="88">
        <f t="shared" si="2"/>
        <v>45747.367643113699</v>
      </c>
      <c r="E33" s="88">
        <f t="shared" si="2"/>
        <v>48332.315534552516</v>
      </c>
      <c r="F33" s="88">
        <f t="shared" si="2"/>
        <v>51105.446106823787</v>
      </c>
      <c r="G33" s="88">
        <f t="shared" si="2"/>
        <v>54061.270587448518</v>
      </c>
      <c r="H33" s="88">
        <f t="shared" si="2"/>
        <v>57100.229584015622</v>
      </c>
      <c r="I33" s="88">
        <f t="shared" si="2"/>
        <v>60352.008631925295</v>
      </c>
      <c r="J33" s="88">
        <f t="shared" si="2"/>
        <v>63790.183008862768</v>
      </c>
      <c r="K33" s="88">
        <f t="shared" si="2"/>
        <v>67425.512741004786</v>
      </c>
      <c r="N33" s="269">
        <f>K33/(SUM(K21:K30)+K33)</f>
        <v>8.4731803434529504E-2</v>
      </c>
    </row>
    <row r="34" spans="1:16">
      <c r="A34" s="212" t="s">
        <v>218</v>
      </c>
      <c r="B34" s="88">
        <f>B17</f>
        <v>0</v>
      </c>
      <c r="C34" s="88">
        <f t="shared" ref="C34:K35" si="3">C17</f>
        <v>0</v>
      </c>
      <c r="D34" s="88">
        <f t="shared" si="3"/>
        <v>0</v>
      </c>
      <c r="E34" s="88">
        <f t="shared" si="3"/>
        <v>0</v>
      </c>
      <c r="F34" s="88">
        <f t="shared" si="3"/>
        <v>0</v>
      </c>
      <c r="G34" s="88">
        <f t="shared" si="3"/>
        <v>0</v>
      </c>
      <c r="H34" s="88">
        <f t="shared" si="3"/>
        <v>0</v>
      </c>
      <c r="I34" s="88">
        <f t="shared" si="3"/>
        <v>0</v>
      </c>
      <c r="J34" s="88">
        <f t="shared" si="3"/>
        <v>0</v>
      </c>
      <c r="K34" s="88">
        <f t="shared" si="3"/>
        <v>0</v>
      </c>
    </row>
    <row r="35" spans="1:16">
      <c r="A35" s="211" t="s">
        <v>276</v>
      </c>
      <c r="B35" s="88">
        <f>B18</f>
        <v>0</v>
      </c>
      <c r="C35" s="88">
        <f t="shared" si="3"/>
        <v>0</v>
      </c>
      <c r="D35" s="88">
        <f t="shared" si="3"/>
        <v>0</v>
      </c>
      <c r="E35" s="88">
        <f t="shared" si="3"/>
        <v>0</v>
      </c>
      <c r="F35" s="88">
        <f t="shared" si="3"/>
        <v>0</v>
      </c>
      <c r="G35" s="88">
        <f t="shared" si="3"/>
        <v>0</v>
      </c>
      <c r="H35" s="88">
        <f t="shared" si="3"/>
        <v>0</v>
      </c>
      <c r="I35" s="88">
        <f t="shared" si="3"/>
        <v>0</v>
      </c>
      <c r="J35" s="88">
        <f t="shared" si="3"/>
        <v>0</v>
      </c>
      <c r="K35" s="88">
        <f t="shared" si="3"/>
        <v>0</v>
      </c>
    </row>
    <row r="36" spans="1:16">
      <c r="A36" s="6" t="s">
        <v>98</v>
      </c>
      <c r="B36" s="88">
        <f>SUM(B21:B35)</f>
        <v>522530.26559627242</v>
      </c>
      <c r="C36" s="88">
        <f t="shared" ref="C36:K36" si="4">SUM(C21:C35)</f>
        <v>551930.9988586884</v>
      </c>
      <c r="D36" s="88">
        <f t="shared" si="4"/>
        <v>582470.43871391972</v>
      </c>
      <c r="E36" s="88">
        <f t="shared" si="4"/>
        <v>615844.53619169968</v>
      </c>
      <c r="F36" s="88">
        <f t="shared" si="4"/>
        <v>651632.6076238855</v>
      </c>
      <c r="G36" s="88">
        <f t="shared" si="4"/>
        <v>688731.12736988463</v>
      </c>
      <c r="H36" s="88">
        <f t="shared" si="4"/>
        <v>727718.10317730077</v>
      </c>
      <c r="I36" s="88">
        <f t="shared" si="4"/>
        <v>769233.92234203953</v>
      </c>
      <c r="J36" s="88">
        <f t="shared" si="4"/>
        <v>813143.23827805277</v>
      </c>
      <c r="K36" s="88">
        <f t="shared" si="4"/>
        <v>859585.34008533449</v>
      </c>
      <c r="L36" s="56">
        <f>(B36-B19)/$B$19</f>
        <v>1.0684583915500064E-2</v>
      </c>
      <c r="M36" s="56">
        <f>(K36-K19)/$K$19</f>
        <v>1.0777822335428138E-2</v>
      </c>
      <c r="P36" s="269"/>
    </row>
    <row r="37" spans="1:16">
      <c r="A37" s="210" t="s">
        <v>339</v>
      </c>
    </row>
    <row r="38" spans="1:16">
      <c r="A38" t="s">
        <v>4</v>
      </c>
      <c r="B38" s="88">
        <f>B21</f>
        <v>160982.18472241759</v>
      </c>
      <c r="C38" s="88">
        <f t="shared" ref="C38:K38" si="5">C21</f>
        <v>170537.49438363127</v>
      </c>
      <c r="D38" s="88">
        <f t="shared" si="5"/>
        <v>180460.89859002735</v>
      </c>
      <c r="E38" s="88">
        <f t="shared" si="5"/>
        <v>191373.94139189259</v>
      </c>
      <c r="F38" s="88">
        <f t="shared" si="5"/>
        <v>203564.86709807342</v>
      </c>
      <c r="G38" s="88">
        <f t="shared" si="5"/>
        <v>215643.69619095221</v>
      </c>
      <c r="H38" s="88">
        <f t="shared" si="5"/>
        <v>228436.04826394658</v>
      </c>
      <c r="I38" s="88">
        <f t="shared" si="5"/>
        <v>242268.17789218127</v>
      </c>
      <c r="J38" s="88">
        <f t="shared" si="5"/>
        <v>256937.80505709309</v>
      </c>
      <c r="K38" s="88">
        <f t="shared" si="5"/>
        <v>272495.63089666312</v>
      </c>
    </row>
    <row r="39" spans="1:16">
      <c r="A39" t="s">
        <v>5</v>
      </c>
      <c r="B39" s="88">
        <f t="shared" ref="B39:K52" si="6">B22</f>
        <v>118023.72967160547</v>
      </c>
      <c r="C39" s="88">
        <f t="shared" si="6"/>
        <v>124556.92987482675</v>
      </c>
      <c r="D39" s="88">
        <f t="shared" si="6"/>
        <v>131431.0340293771</v>
      </c>
      <c r="E39" s="88">
        <f t="shared" si="6"/>
        <v>139116.10603492125</v>
      </c>
      <c r="F39" s="88">
        <f t="shared" si="6"/>
        <v>146864.43291596879</v>
      </c>
      <c r="G39" s="88">
        <f t="shared" si="6"/>
        <v>155138.12273645093</v>
      </c>
      <c r="H39" s="88">
        <f t="shared" si="6"/>
        <v>163875.62518068371</v>
      </c>
      <c r="I39" s="88">
        <f t="shared" si="6"/>
        <v>173033.61858341735</v>
      </c>
      <c r="J39" s="88">
        <f t="shared" si="6"/>
        <v>182703.35446499128</v>
      </c>
      <c r="K39" s="88">
        <f t="shared" si="6"/>
        <v>192913.42384401843</v>
      </c>
    </row>
    <row r="40" spans="1:16">
      <c r="A40" t="s">
        <v>6</v>
      </c>
      <c r="B40" s="88">
        <f t="shared" si="6"/>
        <v>13439.558122078713</v>
      </c>
      <c r="C40" s="88">
        <f t="shared" si="6"/>
        <v>14183.50448014312</v>
      </c>
      <c r="D40" s="88">
        <f t="shared" si="6"/>
        <v>14966.27013734916</v>
      </c>
      <c r="E40" s="88">
        <f t="shared" si="6"/>
        <v>15781.490247081609</v>
      </c>
      <c r="F40" s="88">
        <f t="shared" si="6"/>
        <v>16644.677400163378</v>
      </c>
      <c r="G40" s="88">
        <f t="shared" si="6"/>
        <v>17565.714627498208</v>
      </c>
      <c r="H40" s="88">
        <f t="shared" si="6"/>
        <v>18519.887542642082</v>
      </c>
      <c r="I40" s="88">
        <f t="shared" si="6"/>
        <v>19530.151055276874</v>
      </c>
      <c r="J40" s="88">
        <f t="shared" si="6"/>
        <v>20595.520015831</v>
      </c>
      <c r="K40" s="88">
        <f t="shared" si="6"/>
        <v>21718.999649898433</v>
      </c>
    </row>
    <row r="41" spans="1:16">
      <c r="A41" t="s">
        <v>7</v>
      </c>
      <c r="B41" s="88">
        <f>B24*UF_Assumptions_1!$C$7</f>
        <v>22578.030258392639</v>
      </c>
      <c r="C41" s="88">
        <f>C24*UF_Assumptions_1!$C$7</f>
        <v>23579.394584993894</v>
      </c>
      <c r="D41" s="88">
        <f>D24*UF_Assumptions_1!$C$7</f>
        <v>24621.285201258324</v>
      </c>
      <c r="E41" s="88">
        <f>E24*UF_Assumptions_1!$C$7</f>
        <v>25716.095981056747</v>
      </c>
      <c r="F41" s="88">
        <f>F24*UF_Assumptions_1!$C$7</f>
        <v>26865.337251814348</v>
      </c>
      <c r="G41" s="88">
        <f>G24*UF_Assumptions_1!$C$7</f>
        <v>28029.450661411385</v>
      </c>
      <c r="H41" s="88">
        <f>H24*UF_Assumptions_1!$C$7</f>
        <v>29243.598060692901</v>
      </c>
      <c r="I41" s="88">
        <f>I24*UF_Assumptions_1!$C$7</f>
        <v>30517.096349681877</v>
      </c>
      <c r="J41" s="88">
        <f>J24*UF_Assumptions_1!$C$7</f>
        <v>31846.045706115103</v>
      </c>
      <c r="K41" s="88">
        <f>K24*UF_Assumptions_1!$C$7</f>
        <v>33232.859853795708</v>
      </c>
    </row>
    <row r="42" spans="1:16">
      <c r="A42" t="s">
        <v>8</v>
      </c>
      <c r="B42" s="88">
        <f t="shared" si="6"/>
        <v>28689.635954420595</v>
      </c>
      <c r="C42" s="88">
        <f t="shared" si="6"/>
        <v>30335.148515759727</v>
      </c>
      <c r="D42" s="88">
        <f t="shared" si="6"/>
        <v>31948.617271280385</v>
      </c>
      <c r="E42" s="88">
        <f t="shared" si="6"/>
        <v>33784.762834506182</v>
      </c>
      <c r="F42" s="88">
        <f t="shared" si="6"/>
        <v>35734.081370261993</v>
      </c>
      <c r="G42" s="88">
        <f t="shared" si="6"/>
        <v>37782.926230403427</v>
      </c>
      <c r="H42" s="88">
        <f t="shared" si="6"/>
        <v>39910.890682114885</v>
      </c>
      <c r="I42" s="88">
        <f t="shared" si="6"/>
        <v>42181.182194971159</v>
      </c>
      <c r="J42" s="88">
        <f t="shared" si="6"/>
        <v>44580.606980834782</v>
      </c>
      <c r="K42" s="88">
        <f t="shared" si="6"/>
        <v>47116.508905555907</v>
      </c>
    </row>
    <row r="43" spans="1:16">
      <c r="A43" t="s">
        <v>9</v>
      </c>
      <c r="B43" s="88">
        <f t="shared" si="6"/>
        <v>18890.513495020728</v>
      </c>
      <c r="C43" s="88">
        <f t="shared" si="6"/>
        <v>20257.444114574424</v>
      </c>
      <c r="D43" s="88">
        <f t="shared" si="6"/>
        <v>21679.33703796404</v>
      </c>
      <c r="E43" s="88">
        <f t="shared" si="6"/>
        <v>23228.934455282229</v>
      </c>
      <c r="F43" s="88">
        <f t="shared" si="6"/>
        <v>24871.376757942187</v>
      </c>
      <c r="G43" s="88">
        <f t="shared" si="6"/>
        <v>26670.588132498688</v>
      </c>
      <c r="H43" s="88">
        <f t="shared" si="6"/>
        <v>28599.55590900161</v>
      </c>
      <c r="I43" s="88">
        <f t="shared" si="6"/>
        <v>30645.959770397174</v>
      </c>
      <c r="J43" s="88">
        <f t="shared" si="6"/>
        <v>32838.784011304626</v>
      </c>
      <c r="K43" s="88">
        <f t="shared" si="6"/>
        <v>35188.504037067403</v>
      </c>
    </row>
    <row r="44" spans="1:16">
      <c r="A44" t="s">
        <v>10</v>
      </c>
      <c r="B44" s="88">
        <f t="shared" si="6"/>
        <v>19314.903208446871</v>
      </c>
      <c r="C44" s="88">
        <f t="shared" si="6"/>
        <v>20248.829312751863</v>
      </c>
      <c r="D44" s="88">
        <f t="shared" si="6"/>
        <v>21163.806395663054</v>
      </c>
      <c r="E44" s="88">
        <f t="shared" si="6"/>
        <v>22126.050076564541</v>
      </c>
      <c r="F44" s="88">
        <f t="shared" si="6"/>
        <v>23181.275733174672</v>
      </c>
      <c r="G44" s="88">
        <f t="shared" si="6"/>
        <v>24324.88535007407</v>
      </c>
      <c r="H44" s="88">
        <f t="shared" si="6"/>
        <v>25597.553137678322</v>
      </c>
      <c r="I44" s="88">
        <f t="shared" si="6"/>
        <v>26865.890611128772</v>
      </c>
      <c r="J44" s="88">
        <f t="shared" si="6"/>
        <v>28197.066818839965</v>
      </c>
      <c r="K44" s="88">
        <f t="shared" si="6"/>
        <v>29594.194354944852</v>
      </c>
    </row>
    <row r="45" spans="1:16">
      <c r="A45" t="s">
        <v>18</v>
      </c>
      <c r="B45" s="88">
        <f t="shared" si="6"/>
        <v>44019.592960460352</v>
      </c>
      <c r="C45" s="88">
        <f t="shared" si="6"/>
        <v>46588.399490469084</v>
      </c>
      <c r="D45" s="88">
        <f t="shared" si="6"/>
        <v>49345.928028678936</v>
      </c>
      <c r="E45" s="88">
        <f t="shared" si="6"/>
        <v>52231.296867792182</v>
      </c>
      <c r="F45" s="88">
        <f t="shared" si="6"/>
        <v>55401.743800516408</v>
      </c>
      <c r="G45" s="88">
        <f t="shared" si="6"/>
        <v>58744.509361278768</v>
      </c>
      <c r="H45" s="88">
        <f t="shared" si="6"/>
        <v>62229.333909265348</v>
      </c>
      <c r="I45" s="88">
        <f t="shared" si="6"/>
        <v>65955.914375606124</v>
      </c>
      <c r="J45" s="88">
        <f t="shared" si="6"/>
        <v>69905.644023707253</v>
      </c>
      <c r="K45" s="88">
        <f t="shared" si="6"/>
        <v>74091.883214033864</v>
      </c>
    </row>
    <row r="46" spans="1:16">
      <c r="A46" t="s">
        <v>16</v>
      </c>
      <c r="B46" s="88">
        <f t="shared" si="6"/>
        <v>9637.1769998811087</v>
      </c>
      <c r="C46" s="88">
        <f t="shared" si="6"/>
        <v>10083.87888270471</v>
      </c>
      <c r="D46" s="88">
        <f t="shared" si="6"/>
        <v>10559.707107985336</v>
      </c>
      <c r="E46" s="88">
        <f t="shared" si="6"/>
        <v>11060.948612131126</v>
      </c>
      <c r="F46" s="88">
        <f t="shared" si="6"/>
        <v>11588.462412451476</v>
      </c>
      <c r="G46" s="88">
        <f t="shared" si="6"/>
        <v>12148.56775369268</v>
      </c>
      <c r="H46" s="88">
        <f t="shared" si="6"/>
        <v>12735.566684289943</v>
      </c>
      <c r="I46" s="88">
        <f t="shared" si="6"/>
        <v>13345.373113401587</v>
      </c>
      <c r="J46" s="88">
        <f t="shared" si="6"/>
        <v>13984.375250099914</v>
      </c>
      <c r="K46" s="88">
        <f t="shared" si="6"/>
        <v>14653.970556324568</v>
      </c>
    </row>
    <row r="47" spans="1:16">
      <c r="A47" t="s">
        <v>11</v>
      </c>
      <c r="B47" s="88">
        <f t="shared" si="6"/>
        <v>5662.4045128174339</v>
      </c>
      <c r="C47" s="88">
        <f t="shared" si="6"/>
        <v>5998.5039926469553</v>
      </c>
      <c r="D47" s="88">
        <f t="shared" si="6"/>
        <v>6353.5504447079193</v>
      </c>
      <c r="E47" s="88">
        <f t="shared" si="6"/>
        <v>6731.4134014116889</v>
      </c>
      <c r="F47" s="88">
        <f t="shared" si="6"/>
        <v>7133.2752648964624</v>
      </c>
      <c r="G47" s="88">
        <f t="shared" si="6"/>
        <v>7570.8100191406356</v>
      </c>
      <c r="H47" s="88">
        <f t="shared" si="6"/>
        <v>7997.2040600137425</v>
      </c>
      <c r="I47" s="88">
        <f t="shared" si="6"/>
        <v>8468.1147953519812</v>
      </c>
      <c r="J47" s="88">
        <f t="shared" si="6"/>
        <v>8966.7528230695734</v>
      </c>
      <c r="K47" s="88">
        <f t="shared" si="6"/>
        <v>9494.7504879452099</v>
      </c>
    </row>
    <row r="48" spans="1:16">
      <c r="A48" t="s">
        <v>13</v>
      </c>
      <c r="B48" s="88">
        <f t="shared" si="6"/>
        <v>13015.934321462773</v>
      </c>
      <c r="C48" s="88">
        <f t="shared" si="6"/>
        <v>13476.024721270978</v>
      </c>
      <c r="D48" s="88">
        <f t="shared" si="6"/>
        <v>13923.220163679234</v>
      </c>
      <c r="E48" s="88">
        <f t="shared" si="6"/>
        <v>14458.753862211928</v>
      </c>
      <c r="F48" s="88">
        <f t="shared" si="6"/>
        <v>15047.036138730071</v>
      </c>
      <c r="G48" s="88">
        <f t="shared" si="6"/>
        <v>15608.734786912868</v>
      </c>
      <c r="H48" s="88">
        <f t="shared" si="6"/>
        <v>16159.948137089295</v>
      </c>
      <c r="I48" s="88">
        <f t="shared" si="6"/>
        <v>16766.700865673727</v>
      </c>
      <c r="J48" s="88">
        <f t="shared" si="6"/>
        <v>17396.231249972214</v>
      </c>
      <c r="K48" s="88">
        <f t="shared" si="6"/>
        <v>18049.393987394586</v>
      </c>
    </row>
    <row r="49" spans="1:16">
      <c r="A49" s="6" t="s">
        <v>71</v>
      </c>
      <c r="B49" s="88">
        <f t="shared" si="6"/>
        <v>28791.565066927964</v>
      </c>
      <c r="C49" s="88">
        <f t="shared" si="6"/>
        <v>30298.917575967578</v>
      </c>
      <c r="D49" s="88">
        <f t="shared" si="6"/>
        <v>31880.154947029732</v>
      </c>
      <c r="E49" s="88">
        <f t="shared" si="6"/>
        <v>33584.788311616554</v>
      </c>
      <c r="F49" s="88">
        <f t="shared" si="6"/>
        <v>35388.140800757341</v>
      </c>
      <c r="G49" s="88">
        <f t="shared" si="6"/>
        <v>37275.55331184082</v>
      </c>
      <c r="H49" s="88">
        <f t="shared" si="6"/>
        <v>39225.794609276592</v>
      </c>
      <c r="I49" s="88">
        <f t="shared" si="6"/>
        <v>41300.179658613044</v>
      </c>
      <c r="J49" s="88">
        <f t="shared" si="6"/>
        <v>43484.255035020928</v>
      </c>
      <c r="K49" s="88">
        <f t="shared" si="6"/>
        <v>45783.819883571348</v>
      </c>
    </row>
    <row r="50" spans="1:16">
      <c r="A50" s="6" t="s">
        <v>166</v>
      </c>
      <c r="B50" s="88">
        <f>B33*(SUM(B38:B47)/SUM(B21:B30))</f>
        <v>41099.687149911049</v>
      </c>
      <c r="C50" s="88">
        <f t="shared" ref="C50:K50" si="7">C33*(SUM(C38:C47)/SUM(C21:C30))</f>
        <v>43472.898349310992</v>
      </c>
      <c r="D50" s="88">
        <f t="shared" si="7"/>
        <v>45897.467622948025</v>
      </c>
      <c r="E50" s="88">
        <f t="shared" si="7"/>
        <v>48488.845516685818</v>
      </c>
      <c r="F50" s="88">
        <f t="shared" si="7"/>
        <v>51268.728149924304</v>
      </c>
      <c r="G50" s="88">
        <f t="shared" si="7"/>
        <v>54231.663745792241</v>
      </c>
      <c r="H50" s="88">
        <f t="shared" si="7"/>
        <v>57277.789084341108</v>
      </c>
      <c r="I50" s="88">
        <f t="shared" si="7"/>
        <v>60537.144950633432</v>
      </c>
      <c r="J50" s="88">
        <f t="shared" si="7"/>
        <v>63983.218419280274</v>
      </c>
      <c r="K50" s="88">
        <f t="shared" si="7"/>
        <v>67626.783209068002</v>
      </c>
      <c r="N50" s="269">
        <f>K50/(SUM(K38:K47)+K50)</f>
        <v>8.4731803434529504E-2</v>
      </c>
    </row>
    <row r="51" spans="1:16">
      <c r="A51" s="212" t="s">
        <v>218</v>
      </c>
      <c r="B51" s="88">
        <f t="shared" si="6"/>
        <v>0</v>
      </c>
      <c r="C51" s="88">
        <f t="shared" si="6"/>
        <v>0</v>
      </c>
      <c r="D51" s="88">
        <f t="shared" si="6"/>
        <v>0</v>
      </c>
      <c r="E51" s="88">
        <f t="shared" si="6"/>
        <v>0</v>
      </c>
      <c r="F51" s="88">
        <f t="shared" si="6"/>
        <v>0</v>
      </c>
      <c r="G51" s="88">
        <f t="shared" si="6"/>
        <v>0</v>
      </c>
      <c r="H51" s="88">
        <f t="shared" si="6"/>
        <v>0</v>
      </c>
      <c r="I51" s="88">
        <f t="shared" si="6"/>
        <v>0</v>
      </c>
      <c r="J51" s="88">
        <f t="shared" si="6"/>
        <v>0</v>
      </c>
      <c r="K51" s="88">
        <f t="shared" si="6"/>
        <v>0</v>
      </c>
    </row>
    <row r="52" spans="1:16">
      <c r="A52" s="211" t="s">
        <v>276</v>
      </c>
      <c r="B52" s="88">
        <f t="shared" si="6"/>
        <v>0</v>
      </c>
      <c r="C52" s="88">
        <f t="shared" si="6"/>
        <v>0</v>
      </c>
      <c r="D52" s="88">
        <f t="shared" si="6"/>
        <v>0</v>
      </c>
      <c r="E52" s="88">
        <f t="shared" si="6"/>
        <v>0</v>
      </c>
      <c r="F52" s="88">
        <f t="shared" si="6"/>
        <v>0</v>
      </c>
      <c r="G52" s="88">
        <f t="shared" si="6"/>
        <v>0</v>
      </c>
      <c r="H52" s="88">
        <f t="shared" si="6"/>
        <v>0</v>
      </c>
      <c r="I52" s="88">
        <f t="shared" si="6"/>
        <v>0</v>
      </c>
      <c r="J52" s="88">
        <f t="shared" si="6"/>
        <v>0</v>
      </c>
      <c r="K52" s="88">
        <f t="shared" si="6"/>
        <v>0</v>
      </c>
    </row>
    <row r="53" spans="1:16">
      <c r="A53" s="6" t="s">
        <v>98</v>
      </c>
      <c r="B53" s="88">
        <f>SUM(B38:B52)</f>
        <v>524144.91644384334</v>
      </c>
      <c r="C53" s="88">
        <f t="shared" ref="C53:K53" si="8">SUM(C38:C52)</f>
        <v>553617.36827905127</v>
      </c>
      <c r="D53" s="88">
        <f t="shared" si="8"/>
        <v>584231.2769779485</v>
      </c>
      <c r="E53" s="88">
        <f t="shared" si="8"/>
        <v>617683.42759315448</v>
      </c>
      <c r="F53" s="88">
        <f t="shared" si="8"/>
        <v>653553.43509467493</v>
      </c>
      <c r="G53" s="88">
        <f t="shared" si="8"/>
        <v>690735.22290794691</v>
      </c>
      <c r="H53" s="88">
        <f t="shared" si="8"/>
        <v>729808.79526103614</v>
      </c>
      <c r="I53" s="88">
        <f t="shared" si="8"/>
        <v>771415.50421633432</v>
      </c>
      <c r="J53" s="88">
        <f t="shared" si="8"/>
        <v>815419.65985615994</v>
      </c>
      <c r="K53" s="88">
        <f t="shared" si="8"/>
        <v>861960.72288028151</v>
      </c>
      <c r="L53" s="56">
        <f>(B53-B36)/$B$19</f>
        <v>3.1230778913520192E-3</v>
      </c>
      <c r="M53" s="56">
        <f>(K53-K36)/$K$19</f>
        <v>2.7931889211270525E-3</v>
      </c>
      <c r="P53" s="269"/>
    </row>
    <row r="54" spans="1:16">
      <c r="A54" s="210" t="s">
        <v>314</v>
      </c>
    </row>
    <row r="55" spans="1:16">
      <c r="A55" t="s">
        <v>4</v>
      </c>
      <c r="B55" s="88">
        <f>B38*UF_Assumptions_1!$D4</f>
        <v>168065.40085020397</v>
      </c>
      <c r="C55" s="88">
        <f>C38*UF_Assumptions_1!$D4</f>
        <v>178041.14413651105</v>
      </c>
      <c r="D55" s="88">
        <f>D38*UF_Assumptions_1!$D4</f>
        <v>188401.17812798856</v>
      </c>
      <c r="E55" s="88">
        <f>E38*UF_Assumptions_1!$D4</f>
        <v>199794.39481313588</v>
      </c>
      <c r="F55" s="88">
        <f>F38*UF_Assumptions_1!$D4</f>
        <v>212521.72125038865</v>
      </c>
      <c r="G55" s="88">
        <f>G38*UF_Assumptions_1!$D4</f>
        <v>225132.01882335413</v>
      </c>
      <c r="H55" s="88">
        <f>H38*UF_Assumptions_1!$D4</f>
        <v>238487.23438756022</v>
      </c>
      <c r="I55" s="88">
        <f>I38*UF_Assumptions_1!$D4</f>
        <v>252927.97771943724</v>
      </c>
      <c r="J55" s="88">
        <f>J38*UF_Assumptions_1!$D4</f>
        <v>268243.06847960519</v>
      </c>
      <c r="K55" s="88">
        <f>K38*UF_Assumptions_1!$D4</f>
        <v>284485.43865611631</v>
      </c>
    </row>
    <row r="56" spans="1:16">
      <c r="A56" t="s">
        <v>5</v>
      </c>
      <c r="B56" s="88">
        <f>B39*UF_Assumptions_1!$D5</f>
        <v>128445.22500160824</v>
      </c>
      <c r="C56" s="88">
        <f>C39*UF_Assumptions_1!$D5</f>
        <v>135555.30678277396</v>
      </c>
      <c r="D56" s="88">
        <f>D39*UF_Assumptions_1!$D5</f>
        <v>143036.39433417111</v>
      </c>
      <c r="E56" s="88">
        <f>E39*UF_Assumptions_1!$D5</f>
        <v>151400.05819780481</v>
      </c>
      <c r="F56" s="88">
        <f>F39*UF_Assumptions_1!$D5</f>
        <v>159832.56234244883</v>
      </c>
      <c r="G56" s="88">
        <f>G39*UF_Assumptions_1!$D5</f>
        <v>168836.81897407954</v>
      </c>
      <c r="H56" s="88">
        <f>H39*UF_Assumptions_1!$D5</f>
        <v>178345.84288413808</v>
      </c>
      <c r="I56" s="88">
        <f>I39*UF_Assumptions_1!$D5</f>
        <v>188312.48710433312</v>
      </c>
      <c r="J56" s="88">
        <f>J39*UF_Assumptions_1!$D5</f>
        <v>198836.06066425002</v>
      </c>
      <c r="K56" s="88">
        <f>K39*UF_Assumptions_1!$D5</f>
        <v>209947.67916944527</v>
      </c>
    </row>
    <row r="57" spans="1:16">
      <c r="A57" t="s">
        <v>6</v>
      </c>
      <c r="B57" s="88">
        <f>B40*UF_Assumptions_1!$D6</f>
        <v>14626.271104258265</v>
      </c>
      <c r="C57" s="88">
        <f>C40*UF_Assumptions_1!$D6</f>
        <v>15435.907925739757</v>
      </c>
      <c r="D57" s="88">
        <f>D40*UF_Assumptions_1!$D6</f>
        <v>16287.791790477091</v>
      </c>
      <c r="E57" s="88">
        <f>E40*UF_Assumptions_1!$D6</f>
        <v>17174.995835898917</v>
      </c>
      <c r="F57" s="88">
        <f>F40*UF_Assumptions_1!$D6</f>
        <v>18114.402414597807</v>
      </c>
      <c r="G57" s="88">
        <f>G40*UF_Assumptions_1!$D6</f>
        <v>19116.767229106299</v>
      </c>
      <c r="H57" s="88">
        <f>H40*UF_Assumptions_1!$D6</f>
        <v>20155.193612657378</v>
      </c>
      <c r="I57" s="88">
        <f>I40*UF_Assumptions_1!$D6</f>
        <v>21254.663393457824</v>
      </c>
      <c r="J57" s="88">
        <f>J40*UF_Assumptions_1!$D6</f>
        <v>22414.104433228877</v>
      </c>
      <c r="K57" s="88">
        <f>K40*UF_Assumptions_1!$D6</f>
        <v>23636.787318984465</v>
      </c>
    </row>
    <row r="58" spans="1:16">
      <c r="A58" t="s">
        <v>7</v>
      </c>
      <c r="B58" s="88">
        <f>B41*UF_Assumptions_1!$D7</f>
        <v>24571.670330208708</v>
      </c>
      <c r="C58" s="88">
        <f>C41*UF_Assumptions_1!$D7</f>
        <v>25661.455126848854</v>
      </c>
      <c r="D58" s="88">
        <f>D41*UF_Assumptions_1!$D7</f>
        <v>26795.344684529435</v>
      </c>
      <c r="E58" s="88">
        <f>E41*UF_Assumptions_1!$D7</f>
        <v>27986.82725618406</v>
      </c>
      <c r="F58" s="88">
        <f>F41*UF_Assumptions_1!$D7</f>
        <v>29237.546531149557</v>
      </c>
      <c r="G58" s="88">
        <f>G41*UF_Assumptions_1!$D7</f>
        <v>30504.451154814011</v>
      </c>
      <c r="H58" s="88">
        <f>H41*UF_Assumptions_1!$D7</f>
        <v>31825.807769452083</v>
      </c>
      <c r="I58" s="88">
        <f>I41*UF_Assumptions_1!$D7</f>
        <v>33211.755957358786</v>
      </c>
      <c r="J58" s="88">
        <f>J41*UF_Assumptions_1!$D7</f>
        <v>34658.051541965069</v>
      </c>
      <c r="K58" s="88">
        <f>K41*UF_Assumptions_1!$D7</f>
        <v>36167.32137888587</v>
      </c>
    </row>
    <row r="59" spans="1:16">
      <c r="A59" t="s">
        <v>8</v>
      </c>
      <c r="B59" s="88">
        <f>B42*UF_Assumptions_1!$D8</f>
        <v>28689.635954420595</v>
      </c>
      <c r="C59" s="88">
        <f>C42*UF_Assumptions_1!$D8</f>
        <v>30335.148515759727</v>
      </c>
      <c r="D59" s="88">
        <f>D42*UF_Assumptions_1!$D8</f>
        <v>31948.617271280385</v>
      </c>
      <c r="E59" s="88">
        <f>E42*UF_Assumptions_1!$D8</f>
        <v>33784.762834506182</v>
      </c>
      <c r="F59" s="88">
        <f>F42*UF_Assumptions_1!$D8</f>
        <v>35734.081370261993</v>
      </c>
      <c r="G59" s="88">
        <f>G42*UF_Assumptions_1!$D8</f>
        <v>37782.926230403427</v>
      </c>
      <c r="H59" s="88">
        <f>H42*UF_Assumptions_1!$D8</f>
        <v>39910.890682114885</v>
      </c>
      <c r="I59" s="88">
        <f>I42*UF_Assumptions_1!$D8</f>
        <v>42181.182194971159</v>
      </c>
      <c r="J59" s="88">
        <f>J42*UF_Assumptions_1!$D8</f>
        <v>44580.606980834782</v>
      </c>
      <c r="K59" s="88">
        <f>K42*UF_Assumptions_1!$D8</f>
        <v>47116.508905555907</v>
      </c>
    </row>
    <row r="60" spans="1:16">
      <c r="A60" t="s">
        <v>9</v>
      </c>
      <c r="B60" s="88">
        <f>B43*UF_Assumptions_1!$D9</f>
        <v>20558.54583663106</v>
      </c>
      <c r="C60" s="88">
        <f>C43*UF_Assumptions_1!$D9</f>
        <v>22046.176429891348</v>
      </c>
      <c r="D60" s="88">
        <f>D43*UF_Assumptions_1!$D9</f>
        <v>23593.622498416265</v>
      </c>
      <c r="E60" s="88">
        <f>E43*UF_Assumptions_1!$D9</f>
        <v>25280.049367683652</v>
      </c>
      <c r="F60" s="88">
        <f>F43*UF_Assumptions_1!$D9</f>
        <v>27067.519325668483</v>
      </c>
      <c r="G60" s="88">
        <f>G43*UF_Assumptions_1!$D9</f>
        <v>29025.601064598322</v>
      </c>
      <c r="H60" s="88">
        <f>H43*UF_Assumptions_1!$D9</f>
        <v>31124.896695766452</v>
      </c>
      <c r="I60" s="88">
        <f>I43*UF_Assumptions_1!$D9</f>
        <v>33351.998018123246</v>
      </c>
      <c r="J60" s="88">
        <f>J43*UF_Assumptions_1!$D9</f>
        <v>35738.448639502829</v>
      </c>
      <c r="K60" s="88">
        <f>K43*UF_Assumptions_1!$D9</f>
        <v>38295.648943540458</v>
      </c>
    </row>
    <row r="61" spans="1:16">
      <c r="A61" t="s">
        <v>10</v>
      </c>
      <c r="B61" s="88">
        <f>B44*UF_Assumptions_1!$D10</f>
        <v>19314.903208446871</v>
      </c>
      <c r="C61" s="88">
        <f>C44*UF_Assumptions_1!$D10</f>
        <v>20248.829312751863</v>
      </c>
      <c r="D61" s="88">
        <f>D44*UF_Assumptions_1!$D10</f>
        <v>21163.806395663054</v>
      </c>
      <c r="E61" s="88">
        <f>E44*UF_Assumptions_1!$D10</f>
        <v>22126.050076564541</v>
      </c>
      <c r="F61" s="88">
        <f>F44*UF_Assumptions_1!$D10</f>
        <v>23181.275733174672</v>
      </c>
      <c r="G61" s="88">
        <f>G44*UF_Assumptions_1!$D10</f>
        <v>24324.88535007407</v>
      </c>
      <c r="H61" s="88">
        <f>H44*UF_Assumptions_1!$D10</f>
        <v>25597.553137678322</v>
      </c>
      <c r="I61" s="88">
        <f>I44*UF_Assumptions_1!$D10</f>
        <v>26865.890611128772</v>
      </c>
      <c r="J61" s="88">
        <f>J44*UF_Assumptions_1!$D10</f>
        <v>28197.066818839965</v>
      </c>
      <c r="K61" s="88">
        <f>K44*UF_Assumptions_1!$D10</f>
        <v>29594.194354944852</v>
      </c>
    </row>
    <row r="62" spans="1:16">
      <c r="A62" t="s">
        <v>18</v>
      </c>
      <c r="B62" s="88">
        <f>B45*UF_Assumptions_1!$D11</f>
        <v>47906.523018869004</v>
      </c>
      <c r="C62" s="88">
        <f>C45*UF_Assumptions_1!$D11</f>
        <v>50702.155165477503</v>
      </c>
      <c r="D62" s="88">
        <f>D45*UF_Assumptions_1!$D11</f>
        <v>53703.173473611292</v>
      </c>
      <c r="E62" s="88">
        <f>E45*UF_Assumptions_1!$D11</f>
        <v>56843.320381218233</v>
      </c>
      <c r="F62" s="88">
        <f>F45*UF_Assumptions_1!$D11</f>
        <v>60293.717778102007</v>
      </c>
      <c r="G62" s="88">
        <f>G45*UF_Assumptions_1!$D11</f>
        <v>63931.649537879683</v>
      </c>
      <c r="H62" s="88">
        <f>H45*UF_Assumptions_1!$D11</f>
        <v>67724.184093453485</v>
      </c>
      <c r="I62" s="88">
        <f>I45*UF_Assumptions_1!$D11</f>
        <v>71779.821614972141</v>
      </c>
      <c r="J62" s="88">
        <f>J45*UF_Assumptions_1!$D11</f>
        <v>76078.312391000611</v>
      </c>
      <c r="K62" s="88">
        <f>K45*UF_Assumptions_1!$D11</f>
        <v>80634.196501833052</v>
      </c>
    </row>
    <row r="63" spans="1:16">
      <c r="A63" t="s">
        <v>16</v>
      </c>
      <c r="B63" s="88">
        <f>B46*UF_Assumptions_1!$D12</f>
        <v>9637.1769998811087</v>
      </c>
      <c r="C63" s="88">
        <f>C46*UF_Assumptions_1!$D12</f>
        <v>10083.87888270471</v>
      </c>
      <c r="D63" s="88">
        <f>D46*UF_Assumptions_1!$D12</f>
        <v>10559.707107985336</v>
      </c>
      <c r="E63" s="88">
        <f>E46*UF_Assumptions_1!$D12</f>
        <v>11060.948612131126</v>
      </c>
      <c r="F63" s="88">
        <f>F46*UF_Assumptions_1!$D12</f>
        <v>11588.462412451476</v>
      </c>
      <c r="G63" s="88">
        <f>G46*UF_Assumptions_1!$D12</f>
        <v>12148.56775369268</v>
      </c>
      <c r="H63" s="88">
        <f>H46*UF_Assumptions_1!$D12</f>
        <v>12735.566684289943</v>
      </c>
      <c r="I63" s="88">
        <f>I46*UF_Assumptions_1!$D12</f>
        <v>13345.373113401587</v>
      </c>
      <c r="J63" s="88">
        <f>J46*UF_Assumptions_1!$D12</f>
        <v>13984.375250099914</v>
      </c>
      <c r="K63" s="88">
        <f>K46*UF_Assumptions_1!$D12</f>
        <v>14653.970556324568</v>
      </c>
    </row>
    <row r="64" spans="1:16">
      <c r="A64" t="s">
        <v>11</v>
      </c>
      <c r="B64" s="88">
        <f>B47*UF_Assumptions_1!$D13</f>
        <v>6162.3948312992134</v>
      </c>
      <c r="C64" s="88">
        <f>C47*UF_Assumptions_1!$D13</f>
        <v>6528.1718951976818</v>
      </c>
      <c r="D64" s="88">
        <f>D47*UF_Assumptions_1!$D13</f>
        <v>6914.5689489756287</v>
      </c>
      <c r="E64" s="88">
        <f>E47*UF_Assumptions_1!$D13</f>
        <v>7325.7972047563417</v>
      </c>
      <c r="F64" s="88">
        <f>F47*UF_Assumptions_1!$D13</f>
        <v>7763.1434707868202</v>
      </c>
      <c r="G64" s="88">
        <f>G47*UF_Assumptions_1!$D13</f>
        <v>8239.3125438307543</v>
      </c>
      <c r="H64" s="88">
        <f>H47*UF_Assumptions_1!$D13</f>
        <v>8703.357178512957</v>
      </c>
      <c r="I64" s="88">
        <f>I47*UF_Assumptions_1!$D13</f>
        <v>9215.849331781561</v>
      </c>
      <c r="J64" s="88">
        <f>J47*UF_Assumptions_1!$D13</f>
        <v>9758.5170973466174</v>
      </c>
      <c r="K64" s="88">
        <f>K47*UF_Assumptions_1!$D13</f>
        <v>10333.136956030772</v>
      </c>
    </row>
    <row r="65" spans="1:16">
      <c r="A65" t="s">
        <v>13</v>
      </c>
      <c r="B65" s="88">
        <f t="shared" ref="B65:K65" si="9">B48</f>
        <v>13015.934321462773</v>
      </c>
      <c r="C65" s="88">
        <f t="shared" si="9"/>
        <v>13476.024721270978</v>
      </c>
      <c r="D65" s="88">
        <f t="shared" si="9"/>
        <v>13923.220163679234</v>
      </c>
      <c r="E65" s="88">
        <f t="shared" si="9"/>
        <v>14458.753862211928</v>
      </c>
      <c r="F65" s="88">
        <f t="shared" si="9"/>
        <v>15047.036138730071</v>
      </c>
      <c r="G65" s="88">
        <f t="shared" si="9"/>
        <v>15608.734786912868</v>
      </c>
      <c r="H65" s="88">
        <f t="shared" si="9"/>
        <v>16159.948137089295</v>
      </c>
      <c r="I65" s="88">
        <f t="shared" si="9"/>
        <v>16766.700865673727</v>
      </c>
      <c r="J65" s="88">
        <f t="shared" si="9"/>
        <v>17396.231249972214</v>
      </c>
      <c r="K65" s="88">
        <f t="shared" si="9"/>
        <v>18049.393987394586</v>
      </c>
    </row>
    <row r="66" spans="1:16">
      <c r="A66" s="6" t="s">
        <v>71</v>
      </c>
      <c r="B66" s="88">
        <f t="shared" ref="B66:K66" si="10">B49</f>
        <v>28791.565066927964</v>
      </c>
      <c r="C66" s="88">
        <f t="shared" si="10"/>
        <v>30298.917575967578</v>
      </c>
      <c r="D66" s="88">
        <f t="shared" si="10"/>
        <v>31880.154947029732</v>
      </c>
      <c r="E66" s="88">
        <f t="shared" si="10"/>
        <v>33584.788311616554</v>
      </c>
      <c r="F66" s="88">
        <f t="shared" si="10"/>
        <v>35388.140800757341</v>
      </c>
      <c r="G66" s="88">
        <f t="shared" si="10"/>
        <v>37275.55331184082</v>
      </c>
      <c r="H66" s="88">
        <f t="shared" si="10"/>
        <v>39225.794609276592</v>
      </c>
      <c r="I66" s="88">
        <f t="shared" si="10"/>
        <v>41300.179658613044</v>
      </c>
      <c r="J66" s="88">
        <f t="shared" si="10"/>
        <v>43484.255035020928</v>
      </c>
      <c r="K66" s="88">
        <f t="shared" si="10"/>
        <v>45783.819883571348</v>
      </c>
    </row>
    <row r="67" spans="1:16">
      <c r="A67" s="6" t="s">
        <v>166</v>
      </c>
      <c r="B67" s="88">
        <f>B50*(SUM(B55:B64)/SUM(B38:B47))</f>
        <v>43590.422343348007</v>
      </c>
      <c r="C67" s="88">
        <f t="shared" ref="C67:K67" si="11">C50*(SUM(C55:C64)/SUM(C38:C47))</f>
        <v>46107.976167955705</v>
      </c>
      <c r="D67" s="88">
        <f t="shared" si="11"/>
        <v>48681.316729246224</v>
      </c>
      <c r="E67" s="88">
        <f t="shared" si="11"/>
        <v>51431.401696956738</v>
      </c>
      <c r="F67" s="88">
        <f t="shared" si="11"/>
        <v>54379.591304466143</v>
      </c>
      <c r="G67" s="88">
        <f t="shared" si="11"/>
        <v>57523.343405787571</v>
      </c>
      <c r="H67" s="88">
        <f t="shared" si="11"/>
        <v>60754.972819010676</v>
      </c>
      <c r="I67" s="88">
        <f t="shared" si="11"/>
        <v>64212.664326125006</v>
      </c>
      <c r="J67" s="88">
        <f t="shared" si="11"/>
        <v>67868.473974574983</v>
      </c>
      <c r="K67" s="88">
        <f t="shared" si="11"/>
        <v>71733.836245111743</v>
      </c>
      <c r="N67" s="269">
        <f>K67/(SUM(K55:K64)+K67)</f>
        <v>8.4731803434529504E-2</v>
      </c>
    </row>
    <row r="68" spans="1:16">
      <c r="A68" s="212" t="s">
        <v>218</v>
      </c>
      <c r="B68" s="88">
        <f t="shared" ref="B68:K68" si="12">B51</f>
        <v>0</v>
      </c>
      <c r="C68" s="88">
        <f t="shared" si="12"/>
        <v>0</v>
      </c>
      <c r="D68" s="88">
        <f t="shared" si="12"/>
        <v>0</v>
      </c>
      <c r="E68" s="88">
        <f t="shared" si="12"/>
        <v>0</v>
      </c>
      <c r="F68" s="88">
        <f t="shared" si="12"/>
        <v>0</v>
      </c>
      <c r="G68" s="88">
        <f t="shared" si="12"/>
        <v>0</v>
      </c>
      <c r="H68" s="88">
        <f t="shared" si="12"/>
        <v>0</v>
      </c>
      <c r="I68" s="88">
        <f t="shared" si="12"/>
        <v>0</v>
      </c>
      <c r="J68" s="88">
        <f t="shared" si="12"/>
        <v>0</v>
      </c>
      <c r="K68" s="88">
        <f t="shared" si="12"/>
        <v>0</v>
      </c>
    </row>
    <row r="69" spans="1:16">
      <c r="A69" s="211" t="s">
        <v>276</v>
      </c>
      <c r="B69" s="88">
        <f t="shared" ref="B69:K69" si="13">B52</f>
        <v>0</v>
      </c>
      <c r="C69" s="88">
        <f t="shared" si="13"/>
        <v>0</v>
      </c>
      <c r="D69" s="88">
        <f t="shared" si="13"/>
        <v>0</v>
      </c>
      <c r="E69" s="88">
        <f t="shared" si="13"/>
        <v>0</v>
      </c>
      <c r="F69" s="88">
        <f t="shared" si="13"/>
        <v>0</v>
      </c>
      <c r="G69" s="88">
        <f t="shared" si="13"/>
        <v>0</v>
      </c>
      <c r="H69" s="88">
        <f t="shared" si="13"/>
        <v>0</v>
      </c>
      <c r="I69" s="88">
        <f t="shared" si="13"/>
        <v>0</v>
      </c>
      <c r="J69" s="88">
        <f t="shared" si="13"/>
        <v>0</v>
      </c>
      <c r="K69" s="88">
        <f t="shared" si="13"/>
        <v>0</v>
      </c>
    </row>
    <row r="70" spans="1:16">
      <c r="A70" s="6" t="s">
        <v>98</v>
      </c>
      <c r="B70" s="88">
        <f>SUM(B55:B69)</f>
        <v>553375.66886756569</v>
      </c>
      <c r="C70" s="88">
        <f t="shared" ref="C70:J70" si="14">SUM(C55:C69)</f>
        <v>584521.09263885068</v>
      </c>
      <c r="D70" s="88">
        <f t="shared" si="14"/>
        <v>616888.89647305338</v>
      </c>
      <c r="E70" s="88">
        <f t="shared" si="14"/>
        <v>652252.1484506689</v>
      </c>
      <c r="F70" s="88">
        <f t="shared" si="14"/>
        <v>690149.2008729839</v>
      </c>
      <c r="G70" s="88">
        <f t="shared" si="14"/>
        <v>729450.63016637415</v>
      </c>
      <c r="H70" s="88">
        <f t="shared" si="14"/>
        <v>770751.24269100034</v>
      </c>
      <c r="I70" s="88">
        <f t="shared" si="14"/>
        <v>814726.54390937719</v>
      </c>
      <c r="J70" s="88">
        <f t="shared" si="14"/>
        <v>861237.57255624188</v>
      </c>
      <c r="K70" s="88">
        <f>SUM(K55:K69)</f>
        <v>910431.93285773916</v>
      </c>
      <c r="L70" s="56">
        <f>(B70-B53)/$B$19</f>
        <v>5.6538487425593392E-2</v>
      </c>
      <c r="M70" s="56">
        <f>(K70-K53)/$K$19</f>
        <v>5.6996812046741195E-2</v>
      </c>
      <c r="P70" s="269"/>
    </row>
    <row r="71" spans="1:16">
      <c r="A71" s="210" t="s">
        <v>338</v>
      </c>
      <c r="B71" s="6"/>
      <c r="C71" s="6"/>
      <c r="D71" s="6"/>
      <c r="E71" s="6"/>
      <c r="F71" s="6"/>
      <c r="G71" s="6"/>
      <c r="H71" s="6"/>
      <c r="I71" s="6"/>
      <c r="J71" s="6"/>
      <c r="K71" s="6"/>
      <c r="L71" s="299"/>
    </row>
    <row r="72" spans="1:16">
      <c r="A72" s="6" t="s">
        <v>4</v>
      </c>
      <c r="B72" s="285">
        <f>B55*UF_Assumptions_1!$G4*UF_Assumptions_1!$F4</f>
        <v>165880.5506391513</v>
      </c>
      <c r="C72" s="285">
        <f>C55*UF_Assumptions_1!$G4*UF_Assumptions_1!$F4</f>
        <v>175726.6092627364</v>
      </c>
      <c r="D72" s="285">
        <f>D55*UF_Assumptions_1!$G4*UF_Assumptions_1!$F4</f>
        <v>185951.96281232469</v>
      </c>
      <c r="E72" s="285">
        <f>E55*UF_Assumptions_1!$G4*UF_Assumptions_1!$F4</f>
        <v>197197.06768056512</v>
      </c>
      <c r="F72" s="285">
        <f>F55*UF_Assumptions_1!$G4*UF_Assumptions_1!$F4</f>
        <v>209758.9388741336</v>
      </c>
      <c r="G72" s="285">
        <f>G55*UF_Assumptions_1!$G4*UF_Assumptions_1!$F4</f>
        <v>222205.30257865053</v>
      </c>
      <c r="H72" s="285">
        <f>H55*UF_Assumptions_1!$G4*UF_Assumptions_1!$F4</f>
        <v>235386.90034052194</v>
      </c>
      <c r="I72" s="285">
        <f>I55*UF_Assumptions_1!$G4*UF_Assumptions_1!$F4</f>
        <v>249639.91400908455</v>
      </c>
      <c r="J72" s="285">
        <f>J55*UF_Assumptions_1!$G4*UF_Assumptions_1!$F4</f>
        <v>264755.90858937032</v>
      </c>
      <c r="K72" s="285">
        <f>K55*UF_Assumptions_1!$G4*UF_Assumptions_1!$F4</f>
        <v>280787.12795358681</v>
      </c>
      <c r="L72" s="299"/>
    </row>
    <row r="73" spans="1:16">
      <c r="A73" s="6" t="s">
        <v>5</v>
      </c>
      <c r="B73" s="285">
        <f>B56*UF_Assumptions_1!$G5*UF_Assumptions_1!$F5</f>
        <v>123307.41600154391</v>
      </c>
      <c r="C73" s="285">
        <f>C56*UF_Assumptions_1!$G5*UF_Assumptions_1!$F5</f>
        <v>130133.094511463</v>
      </c>
      <c r="D73" s="285">
        <f>D56*UF_Assumptions_1!$G5*UF_Assumptions_1!$F5</f>
        <v>137314.93856080426</v>
      </c>
      <c r="E73" s="285">
        <f>E56*UF_Assumptions_1!$G5*UF_Assumptions_1!$F5</f>
        <v>145344.05586989262</v>
      </c>
      <c r="F73" s="285">
        <f>F56*UF_Assumptions_1!$G5*UF_Assumptions_1!$F5</f>
        <v>153439.25984875087</v>
      </c>
      <c r="G73" s="285">
        <f>G56*UF_Assumptions_1!$G5*UF_Assumptions_1!$F5</f>
        <v>162083.34621511635</v>
      </c>
      <c r="H73" s="285">
        <f>H56*UF_Assumptions_1!$G5*UF_Assumptions_1!$F5</f>
        <v>171212.00916877255</v>
      </c>
      <c r="I73" s="285">
        <f>I56*UF_Assumptions_1!$G5*UF_Assumptions_1!$F5</f>
        <v>180779.98762015978</v>
      </c>
      <c r="J73" s="285">
        <f>J56*UF_Assumptions_1!$G5*UF_Assumptions_1!$F5</f>
        <v>190882.61823768</v>
      </c>
      <c r="K73" s="285">
        <f>K56*UF_Assumptions_1!$G5*UF_Assumptions_1!$F5</f>
        <v>201549.77200266745</v>
      </c>
      <c r="L73" s="299"/>
    </row>
    <row r="74" spans="1:16">
      <c r="A74" s="6" t="s">
        <v>6</v>
      </c>
      <c r="B74" s="285">
        <f>B57*UF_Assumptions_1!$G6*UF_Assumptions_1!$F6</f>
        <v>14626.271104258265</v>
      </c>
      <c r="C74" s="285">
        <f>C57*UF_Assumptions_1!$G6*UF_Assumptions_1!$F6</f>
        <v>15435.907925739757</v>
      </c>
      <c r="D74" s="285">
        <f>D57*UF_Assumptions_1!$G6*UF_Assumptions_1!$F6</f>
        <v>16287.791790477091</v>
      </c>
      <c r="E74" s="285">
        <f>E57*UF_Assumptions_1!$G6*UF_Assumptions_1!$F6</f>
        <v>17174.995835898917</v>
      </c>
      <c r="F74" s="285">
        <f>F57*UF_Assumptions_1!$G6*UF_Assumptions_1!$F6</f>
        <v>18114.402414597807</v>
      </c>
      <c r="G74" s="285">
        <f>G57*UF_Assumptions_1!$G6*UF_Assumptions_1!$F6</f>
        <v>19116.767229106299</v>
      </c>
      <c r="H74" s="285">
        <f>H57*UF_Assumptions_1!$G6*UF_Assumptions_1!$F6</f>
        <v>20155.193612657378</v>
      </c>
      <c r="I74" s="285">
        <f>I57*UF_Assumptions_1!$G6*UF_Assumptions_1!$F6</f>
        <v>21254.663393457824</v>
      </c>
      <c r="J74" s="285">
        <f>J57*UF_Assumptions_1!$G6*UF_Assumptions_1!$F6</f>
        <v>22414.104433228877</v>
      </c>
      <c r="K74" s="285">
        <f>K57*UF_Assumptions_1!$G6*UF_Assumptions_1!$F6</f>
        <v>23636.787318984465</v>
      </c>
      <c r="L74" s="299"/>
    </row>
    <row r="75" spans="1:16">
      <c r="A75" s="6" t="s">
        <v>7</v>
      </c>
      <c r="B75" s="285">
        <f>B58*UF_Assumptions_1!$G7*UF_Assumptions_1!$F7</f>
        <v>24571.670330208708</v>
      </c>
      <c r="C75" s="285">
        <f>C58*UF_Assumptions_1!$G7*UF_Assumptions_1!$F7</f>
        <v>25661.455126848854</v>
      </c>
      <c r="D75" s="285">
        <f>D58*UF_Assumptions_1!$G7*UF_Assumptions_1!$F7</f>
        <v>26795.344684529435</v>
      </c>
      <c r="E75" s="285">
        <f>E58*UF_Assumptions_1!$G7*UF_Assumptions_1!$F7</f>
        <v>27986.82725618406</v>
      </c>
      <c r="F75" s="285">
        <f>F58*UF_Assumptions_1!$G7*UF_Assumptions_1!$F7</f>
        <v>29237.546531149557</v>
      </c>
      <c r="G75" s="285">
        <f>G58*UF_Assumptions_1!$G7*UF_Assumptions_1!$F7</f>
        <v>30504.451154814011</v>
      </c>
      <c r="H75" s="285">
        <f>H58*UF_Assumptions_1!$G7*UF_Assumptions_1!$F7</f>
        <v>31825.807769452083</v>
      </c>
      <c r="I75" s="285">
        <f>I58*UF_Assumptions_1!$G7*UF_Assumptions_1!$F7</f>
        <v>33211.755957358786</v>
      </c>
      <c r="J75" s="285">
        <f>J58*UF_Assumptions_1!$G7*UF_Assumptions_1!$F7</f>
        <v>34658.051541965069</v>
      </c>
      <c r="K75" s="285">
        <f>K58*UF_Assumptions_1!$G7*UF_Assumptions_1!$F7</f>
        <v>36167.32137888587</v>
      </c>
      <c r="L75" s="299"/>
    </row>
    <row r="76" spans="1:16">
      <c r="A76" s="6" t="s">
        <v>8</v>
      </c>
      <c r="B76" s="285">
        <f>B59*UF_Assumptions_1!$G8*UF_Assumptions_1!$F8</f>
        <v>28689.635954420595</v>
      </c>
      <c r="C76" s="285">
        <f>C59*UF_Assumptions_1!$G8*UF_Assumptions_1!$F8</f>
        <v>30335.148515759727</v>
      </c>
      <c r="D76" s="285">
        <f>D59*UF_Assumptions_1!$G8*UF_Assumptions_1!$F8</f>
        <v>31948.617271280385</v>
      </c>
      <c r="E76" s="285">
        <f>E59*UF_Assumptions_1!$G8*UF_Assumptions_1!$F8</f>
        <v>33784.762834506182</v>
      </c>
      <c r="F76" s="285">
        <f>F59*UF_Assumptions_1!$G8*UF_Assumptions_1!$F8</f>
        <v>35734.081370261993</v>
      </c>
      <c r="G76" s="285">
        <f>G59*UF_Assumptions_1!$G8*UF_Assumptions_1!$F8</f>
        <v>37782.926230403427</v>
      </c>
      <c r="H76" s="285">
        <f>H59*UF_Assumptions_1!$G8*UF_Assumptions_1!$F8</f>
        <v>39910.890682114885</v>
      </c>
      <c r="I76" s="285">
        <f>I59*UF_Assumptions_1!$G8*UF_Assumptions_1!$F8</f>
        <v>42181.182194971159</v>
      </c>
      <c r="J76" s="285">
        <f>J59*UF_Assumptions_1!$G8*UF_Assumptions_1!$F8</f>
        <v>44580.606980834782</v>
      </c>
      <c r="K76" s="285">
        <f>K59*UF_Assumptions_1!$G8*UF_Assumptions_1!$F8</f>
        <v>47116.508905555907</v>
      </c>
      <c r="L76" s="299"/>
    </row>
    <row r="77" spans="1:16">
      <c r="A77" s="6" t="s">
        <v>9</v>
      </c>
      <c r="B77" s="285">
        <f>B60*UF_Assumptions_1!$G9*UF_Assumptions_1!$F9</f>
        <v>20558.54583663106</v>
      </c>
      <c r="C77" s="285">
        <f>C60*UF_Assumptions_1!$G9*UF_Assumptions_1!$F9</f>
        <v>22046.176429891348</v>
      </c>
      <c r="D77" s="285">
        <f>D60*UF_Assumptions_1!$G9*UF_Assumptions_1!$F9</f>
        <v>23593.622498416265</v>
      </c>
      <c r="E77" s="285">
        <f>E60*UF_Assumptions_1!$G9*UF_Assumptions_1!$F9</f>
        <v>25280.049367683652</v>
      </c>
      <c r="F77" s="285">
        <f>F60*UF_Assumptions_1!$G9*UF_Assumptions_1!$F9</f>
        <v>27067.519325668483</v>
      </c>
      <c r="G77" s="285">
        <f>G60*UF_Assumptions_1!$G9*UF_Assumptions_1!$F9</f>
        <v>29025.601064598322</v>
      </c>
      <c r="H77" s="285">
        <f>H60*UF_Assumptions_1!$G9*UF_Assumptions_1!$F9</f>
        <v>31124.896695766452</v>
      </c>
      <c r="I77" s="285">
        <f>I60*UF_Assumptions_1!$G9*UF_Assumptions_1!$F9</f>
        <v>33351.998018123246</v>
      </c>
      <c r="J77" s="285">
        <f>J60*UF_Assumptions_1!$G9*UF_Assumptions_1!$F9</f>
        <v>35738.448639502829</v>
      </c>
      <c r="K77" s="285">
        <f>K60*UF_Assumptions_1!$G9*UF_Assumptions_1!$F9</f>
        <v>38295.648943540458</v>
      </c>
      <c r="L77" s="299"/>
    </row>
    <row r="78" spans="1:16">
      <c r="A78" s="6" t="s">
        <v>10</v>
      </c>
      <c r="B78" s="285">
        <f>B61*UF_Assumptions_1!$G10*UF_Assumptions_1!$F10</f>
        <v>18522.992176900549</v>
      </c>
      <c r="C78" s="285">
        <f>C61*UF_Assumptions_1!$G10*UF_Assumptions_1!$F10</f>
        <v>19418.627310929034</v>
      </c>
      <c r="D78" s="285">
        <f>D61*UF_Assumptions_1!$G10*UF_Assumptions_1!$F10</f>
        <v>20296.090333440869</v>
      </c>
      <c r="E78" s="285">
        <f>E61*UF_Assumptions_1!$G10*UF_Assumptions_1!$F10</f>
        <v>21218.882023425394</v>
      </c>
      <c r="F78" s="285">
        <f>F61*UF_Assumptions_1!$G10*UF_Assumptions_1!$F10</f>
        <v>22230.843428114509</v>
      </c>
      <c r="G78" s="285">
        <f>G61*UF_Assumptions_1!$G10*UF_Assumptions_1!$F10</f>
        <v>23327.56505072103</v>
      </c>
      <c r="H78" s="285">
        <f>H61*UF_Assumptions_1!$G10*UF_Assumptions_1!$F10</f>
        <v>24548.053459033508</v>
      </c>
      <c r="I78" s="285">
        <f>I61*UF_Assumptions_1!$G10*UF_Assumptions_1!$F10</f>
        <v>25764.389096072493</v>
      </c>
      <c r="J78" s="285">
        <f>J61*UF_Assumptions_1!$G10*UF_Assumptions_1!$F10</f>
        <v>27040.987079267525</v>
      </c>
      <c r="K78" s="285">
        <f>K61*UF_Assumptions_1!$G10*UF_Assumptions_1!$F10</f>
        <v>28380.83238639211</v>
      </c>
      <c r="L78" s="299"/>
    </row>
    <row r="79" spans="1:16">
      <c r="A79" s="6" t="s">
        <v>18</v>
      </c>
      <c r="B79" s="285">
        <f>B62*UF_Assumptions_1!$G11*UF_Assumptions_1!$F11</f>
        <v>28743.913811321403</v>
      </c>
      <c r="C79" s="285">
        <f>C62*UF_Assumptions_1!$G11*UF_Assumptions_1!$F11</f>
        <v>30421.2930992865</v>
      </c>
      <c r="D79" s="285">
        <f>D62*UF_Assumptions_1!$G11*UF_Assumptions_1!$F11</f>
        <v>32221.904084166774</v>
      </c>
      <c r="E79" s="285">
        <f>E62*UF_Assumptions_1!$G11*UF_Assumptions_1!$F11</f>
        <v>34105.992228730938</v>
      </c>
      <c r="F79" s="285">
        <f>F62*UF_Assumptions_1!$G11*UF_Assumptions_1!$F11</f>
        <v>36176.2306668612</v>
      </c>
      <c r="G79" s="285">
        <f>G62*UF_Assumptions_1!$G11*UF_Assumptions_1!$F11</f>
        <v>38358.989722727805</v>
      </c>
      <c r="H79" s="285">
        <f>H62*UF_Assumptions_1!$G11*UF_Assumptions_1!$F11</f>
        <v>40634.510456072087</v>
      </c>
      <c r="I79" s="285">
        <f>I62*UF_Assumptions_1!$G11*UF_Assumptions_1!$F11</f>
        <v>43067.89296898328</v>
      </c>
      <c r="J79" s="285">
        <f>J62*UF_Assumptions_1!$G11*UF_Assumptions_1!$F11</f>
        <v>45646.987434600363</v>
      </c>
      <c r="K79" s="285">
        <f>K62*UF_Assumptions_1!$G11*UF_Assumptions_1!$F11</f>
        <v>48380.517901099833</v>
      </c>
      <c r="L79" s="299"/>
    </row>
    <row r="80" spans="1:16">
      <c r="A80" s="6" t="s">
        <v>16</v>
      </c>
      <c r="B80" s="285">
        <f>B63*UF_Assumptions_1!$G12*UF_Assumptions_1!$F12</f>
        <v>9637.1769998811087</v>
      </c>
      <c r="C80" s="285">
        <f>C63*UF_Assumptions_1!$G12*UF_Assumptions_1!$F12</f>
        <v>10083.87888270471</v>
      </c>
      <c r="D80" s="285">
        <f>D63*UF_Assumptions_1!$G12*UF_Assumptions_1!$F12</f>
        <v>10559.707107985336</v>
      </c>
      <c r="E80" s="285">
        <f>E63*UF_Assumptions_1!$G12*UF_Assumptions_1!$F12</f>
        <v>11060.948612131126</v>
      </c>
      <c r="F80" s="285">
        <f>F63*UF_Assumptions_1!$G12*UF_Assumptions_1!$F12</f>
        <v>11588.462412451476</v>
      </c>
      <c r="G80" s="285">
        <f>G63*UF_Assumptions_1!$G12*UF_Assumptions_1!$F12</f>
        <v>12148.56775369268</v>
      </c>
      <c r="H80" s="285">
        <f>H63*UF_Assumptions_1!$G12*UF_Assumptions_1!$F12</f>
        <v>12735.566684289943</v>
      </c>
      <c r="I80" s="285">
        <f>I63*UF_Assumptions_1!$G12*UF_Assumptions_1!$F12</f>
        <v>13345.373113401587</v>
      </c>
      <c r="J80" s="285">
        <f>J63*UF_Assumptions_1!$G12*UF_Assumptions_1!$F12</f>
        <v>13984.375250099914</v>
      </c>
      <c r="K80" s="285">
        <f>K63*UF_Assumptions_1!$G12*UF_Assumptions_1!$F12</f>
        <v>14653.970556324568</v>
      </c>
      <c r="L80" s="299"/>
    </row>
    <row r="81" spans="1:16">
      <c r="A81" s="6" t="s">
        <v>11</v>
      </c>
      <c r="B81" s="285">
        <f>B64*UF_Assumptions_1!$G13*UF_Assumptions_1!$F13</f>
        <v>6162.3948312992134</v>
      </c>
      <c r="C81" s="285">
        <f>C64*UF_Assumptions_1!$G13*UF_Assumptions_1!$F13</f>
        <v>6528.1718951976818</v>
      </c>
      <c r="D81" s="285">
        <f>D64*UF_Assumptions_1!$G13*UF_Assumptions_1!$F13</f>
        <v>6914.5689489756287</v>
      </c>
      <c r="E81" s="285">
        <f>E64*UF_Assumptions_1!$G13*UF_Assumptions_1!$F13</f>
        <v>7325.7972047563417</v>
      </c>
      <c r="F81" s="285">
        <f>F64*UF_Assumptions_1!$G13*UF_Assumptions_1!$F13</f>
        <v>7763.1434707868202</v>
      </c>
      <c r="G81" s="285">
        <f>G64*UF_Assumptions_1!$G13*UF_Assumptions_1!$F13</f>
        <v>8239.3125438307543</v>
      </c>
      <c r="H81" s="285">
        <f>H64*UF_Assumptions_1!$G13*UF_Assumptions_1!$F13</f>
        <v>8703.357178512957</v>
      </c>
      <c r="I81" s="285">
        <f>I64*UF_Assumptions_1!$G13*UF_Assumptions_1!$F13</f>
        <v>9215.849331781561</v>
      </c>
      <c r="J81" s="285">
        <f>J64*UF_Assumptions_1!$G13*UF_Assumptions_1!$F13</f>
        <v>9758.5170973466174</v>
      </c>
      <c r="K81" s="285">
        <f>K64*UF_Assumptions_1!$G13*UF_Assumptions_1!$F13</f>
        <v>10333.136956030772</v>
      </c>
      <c r="L81" s="299"/>
    </row>
    <row r="82" spans="1:16">
      <c r="A82" s="6" t="s">
        <v>13</v>
      </c>
      <c r="B82" s="285">
        <f>B65</f>
        <v>13015.934321462773</v>
      </c>
      <c r="C82" s="285">
        <f t="shared" ref="C82:K83" si="15">C65</f>
        <v>13476.024721270978</v>
      </c>
      <c r="D82" s="285">
        <f t="shared" si="15"/>
        <v>13923.220163679234</v>
      </c>
      <c r="E82" s="285">
        <f t="shared" si="15"/>
        <v>14458.753862211928</v>
      </c>
      <c r="F82" s="285">
        <f t="shared" si="15"/>
        <v>15047.036138730071</v>
      </c>
      <c r="G82" s="285">
        <f t="shared" si="15"/>
        <v>15608.734786912868</v>
      </c>
      <c r="H82" s="285">
        <f t="shared" si="15"/>
        <v>16159.948137089295</v>
      </c>
      <c r="I82" s="285">
        <f t="shared" si="15"/>
        <v>16766.700865673727</v>
      </c>
      <c r="J82" s="285">
        <f t="shared" si="15"/>
        <v>17396.231249972214</v>
      </c>
      <c r="K82" s="285">
        <f t="shared" si="15"/>
        <v>18049.393987394586</v>
      </c>
      <c r="L82" s="299"/>
    </row>
    <row r="83" spans="1:16">
      <c r="A83" s="6" t="s">
        <v>71</v>
      </c>
      <c r="B83" s="285">
        <f>B66</f>
        <v>28791.565066927964</v>
      </c>
      <c r="C83" s="285">
        <f t="shared" si="15"/>
        <v>30298.917575967578</v>
      </c>
      <c r="D83" s="285">
        <f t="shared" si="15"/>
        <v>31880.154947029732</v>
      </c>
      <c r="E83" s="285">
        <f t="shared" si="15"/>
        <v>33584.788311616554</v>
      </c>
      <c r="F83" s="285">
        <f t="shared" si="15"/>
        <v>35388.140800757341</v>
      </c>
      <c r="G83" s="285">
        <f t="shared" si="15"/>
        <v>37275.55331184082</v>
      </c>
      <c r="H83" s="285">
        <f t="shared" si="15"/>
        <v>39225.794609276592</v>
      </c>
      <c r="I83" s="285">
        <f t="shared" si="15"/>
        <v>41300.179658613044</v>
      </c>
      <c r="J83" s="285">
        <f t="shared" si="15"/>
        <v>43484.255035020928</v>
      </c>
      <c r="K83" s="285">
        <f t="shared" si="15"/>
        <v>45783.819883571348</v>
      </c>
      <c r="L83" s="299"/>
    </row>
    <row r="84" spans="1:16">
      <c r="A84" s="6" t="s">
        <v>166</v>
      </c>
      <c r="B84" s="285">
        <f>B67*(SUM(B72:B81)/SUM(B55:B64))</f>
        <v>41049.65244596039</v>
      </c>
      <c r="C84" s="285">
        <f t="shared" ref="C84:K84" si="16">C67*(SUM(C72:C81)/SUM(C55:C64))</f>
        <v>43418.911188016849</v>
      </c>
      <c r="D84" s="285">
        <f t="shared" si="16"/>
        <v>45837.279385463771</v>
      </c>
      <c r="E84" s="285">
        <f t="shared" si="16"/>
        <v>48426.35295035653</v>
      </c>
      <c r="F84" s="285">
        <f t="shared" si="16"/>
        <v>51200.063051652258</v>
      </c>
      <c r="G84" s="285">
        <f t="shared" si="16"/>
        <v>54154.868305980213</v>
      </c>
      <c r="H84" s="285">
        <f t="shared" si="16"/>
        <v>57193.509631989182</v>
      </c>
      <c r="I84" s="285">
        <f t="shared" si="16"/>
        <v>60444.553583906178</v>
      </c>
      <c r="J84" s="285">
        <f t="shared" si="16"/>
        <v>63881.729163664866</v>
      </c>
      <c r="K84" s="285">
        <f t="shared" si="16"/>
        <v>67515.775274193482</v>
      </c>
      <c r="L84" s="299"/>
      <c r="N84" s="269">
        <f>K84/(SUM(K72:K81)+K84)</f>
        <v>8.4731803434529504E-2</v>
      </c>
    </row>
    <row r="85" spans="1:16">
      <c r="A85" s="212" t="s">
        <v>218</v>
      </c>
      <c r="B85" s="285">
        <f t="shared" ref="B85:K86" si="17">B102</f>
        <v>0</v>
      </c>
      <c r="C85" s="285">
        <f t="shared" si="17"/>
        <v>0</v>
      </c>
      <c r="D85" s="285">
        <f t="shared" si="17"/>
        <v>0</v>
      </c>
      <c r="E85" s="285">
        <f t="shared" si="17"/>
        <v>0</v>
      </c>
      <c r="F85" s="285">
        <f t="shared" si="17"/>
        <v>0</v>
      </c>
      <c r="G85" s="285">
        <f t="shared" si="17"/>
        <v>0</v>
      </c>
      <c r="H85" s="285">
        <f t="shared" si="17"/>
        <v>0</v>
      </c>
      <c r="I85" s="285">
        <f t="shared" si="17"/>
        <v>0</v>
      </c>
      <c r="J85" s="285">
        <f t="shared" si="17"/>
        <v>0</v>
      </c>
      <c r="K85" s="285">
        <f t="shared" si="17"/>
        <v>0</v>
      </c>
      <c r="L85" s="299"/>
    </row>
    <row r="86" spans="1:16">
      <c r="A86" s="280" t="s">
        <v>276</v>
      </c>
      <c r="B86" s="285">
        <f t="shared" si="17"/>
        <v>0</v>
      </c>
      <c r="C86" s="285">
        <f t="shared" si="17"/>
        <v>0</v>
      </c>
      <c r="D86" s="285">
        <f t="shared" si="17"/>
        <v>0</v>
      </c>
      <c r="E86" s="285">
        <f t="shared" si="17"/>
        <v>0</v>
      </c>
      <c r="F86" s="285">
        <f t="shared" si="17"/>
        <v>0</v>
      </c>
      <c r="G86" s="285">
        <f t="shared" si="17"/>
        <v>0</v>
      </c>
      <c r="H86" s="285">
        <f t="shared" si="17"/>
        <v>0</v>
      </c>
      <c r="I86" s="285">
        <f t="shared" si="17"/>
        <v>0</v>
      </c>
      <c r="J86" s="285">
        <f t="shared" si="17"/>
        <v>0</v>
      </c>
      <c r="K86" s="285">
        <f t="shared" si="17"/>
        <v>0</v>
      </c>
      <c r="L86" s="299"/>
    </row>
    <row r="87" spans="1:16">
      <c r="A87" s="6" t="s">
        <v>98</v>
      </c>
      <c r="B87" s="285">
        <f>SUM(B72:B86)</f>
        <v>523557.71951996727</v>
      </c>
      <c r="C87" s="285">
        <f t="shared" ref="C87:K87" si="18">SUM(C72:C86)</f>
        <v>552984.21644581237</v>
      </c>
      <c r="D87" s="285">
        <f t="shared" si="18"/>
        <v>583525.20258857356</v>
      </c>
      <c r="E87" s="285">
        <f t="shared" si="18"/>
        <v>616949.2740379594</v>
      </c>
      <c r="F87" s="285">
        <f t="shared" si="18"/>
        <v>652745.66833391611</v>
      </c>
      <c r="G87" s="285">
        <f t="shared" si="18"/>
        <v>689831.9859483951</v>
      </c>
      <c r="H87" s="285">
        <f t="shared" si="18"/>
        <v>728816.43842554872</v>
      </c>
      <c r="I87" s="285">
        <f t="shared" si="18"/>
        <v>770324.43981158722</v>
      </c>
      <c r="J87" s="285">
        <f t="shared" si="18"/>
        <v>814222.8207325543</v>
      </c>
      <c r="K87" s="285">
        <f t="shared" si="18"/>
        <v>860650.61344822764</v>
      </c>
      <c r="L87" s="56">
        <f>(B87-B70)/$B$19</f>
        <v>-5.7674251069842628E-2</v>
      </c>
      <c r="M87" s="56">
        <f>(K87-K70)/$K$19</f>
        <v>-5.8537356652377505E-2</v>
      </c>
      <c r="P87" s="269"/>
    </row>
    <row r="88" spans="1:16">
      <c r="A88" s="210" t="s">
        <v>275</v>
      </c>
    </row>
    <row r="89" spans="1:16">
      <c r="A89" t="s">
        <v>4</v>
      </c>
      <c r="B89" s="88">
        <f>B72*UF_Assumptions_1!$H4</f>
        <v>170757.43882794236</v>
      </c>
      <c r="C89" s="88">
        <f>C72*UF_Assumptions_1!$H4</f>
        <v>180892.97157506086</v>
      </c>
      <c r="D89" s="88">
        <f>D72*UF_Assumptions_1!$H4</f>
        <v>191418.95051900705</v>
      </c>
      <c r="E89" s="88">
        <f>E72*UF_Assumptions_1!$H4</f>
        <v>202994.66147037374</v>
      </c>
      <c r="F89" s="88">
        <f>F72*UF_Assumptions_1!$H4</f>
        <v>215925.85167703315</v>
      </c>
      <c r="G89" s="88">
        <f>G72*UF_Assumptions_1!$H4</f>
        <v>228738.13847446287</v>
      </c>
      <c r="H89" s="88">
        <f>H72*UF_Assumptions_1!$H4</f>
        <v>242307.27521053332</v>
      </c>
      <c r="I89" s="88">
        <f>I72*UF_Assumptions_1!$H4</f>
        <v>256979.32748095164</v>
      </c>
      <c r="J89" s="88">
        <f>J72*UF_Assumptions_1!$H4</f>
        <v>272539.73230189783</v>
      </c>
      <c r="K89" s="88">
        <f>K72*UF_Assumptions_1!$H4</f>
        <v>289042.26951542229</v>
      </c>
    </row>
    <row r="90" spans="1:16">
      <c r="A90" t="s">
        <v>5</v>
      </c>
      <c r="B90" s="88">
        <f>B73*UF_Assumptions_1!$H5</f>
        <v>130557.89206243469</v>
      </c>
      <c r="C90" s="88">
        <f>C73*UF_Assumptions_1!$H5</f>
        <v>137784.92046873702</v>
      </c>
      <c r="D90" s="88">
        <f>D73*UF_Assumptions_1!$H5</f>
        <v>145389.05694817955</v>
      </c>
      <c r="E90" s="88">
        <f>E73*UF_Assumptions_1!$H5</f>
        <v>153890.28635504231</v>
      </c>
      <c r="F90" s="88">
        <f>F73*UF_Assumptions_1!$H5</f>
        <v>162461.4883278574</v>
      </c>
      <c r="G90" s="88">
        <f>G73*UF_Assumptions_1!$H5</f>
        <v>171613.8469725652</v>
      </c>
      <c r="H90" s="88">
        <f>H73*UF_Assumptions_1!$H5</f>
        <v>181279.27530789637</v>
      </c>
      <c r="I90" s="88">
        <f>I73*UF_Assumptions_1!$H5</f>
        <v>191409.85089222516</v>
      </c>
      <c r="J90" s="88">
        <f>J73*UF_Assumptions_1!$H5</f>
        <v>202106.51619005558</v>
      </c>
      <c r="K90" s="88">
        <f>K73*UF_Assumptions_1!$H5</f>
        <v>213400.89859642429</v>
      </c>
    </row>
    <row r="91" spans="1:16">
      <c r="A91" t="s">
        <v>6</v>
      </c>
      <c r="B91" s="88">
        <f>B74*UF_Assumptions_1!$H6</f>
        <v>15486.29584518865</v>
      </c>
      <c r="C91" s="88">
        <f>C74*UF_Assumptions_1!$H6</f>
        <v>16343.539311773255</v>
      </c>
      <c r="D91" s="88">
        <f>D74*UF_Assumptions_1!$H6</f>
        <v>17245.513947757143</v>
      </c>
      <c r="E91" s="88">
        <f>E74*UF_Assumptions_1!$H6</f>
        <v>18184.885591049773</v>
      </c>
      <c r="F91" s="88">
        <f>F74*UF_Assumptions_1!$H6</f>
        <v>19179.529276576159</v>
      </c>
      <c r="G91" s="88">
        <f>G74*UF_Assumptions_1!$H6</f>
        <v>20240.833142177748</v>
      </c>
      <c r="H91" s="88">
        <f>H74*UF_Assumptions_1!$H6</f>
        <v>21340.318997081631</v>
      </c>
      <c r="I91" s="88">
        <f>I74*UF_Assumptions_1!$H6</f>
        <v>22504.437600993144</v>
      </c>
      <c r="J91" s="88">
        <f>J74*UF_Assumptions_1!$H6</f>
        <v>23732.053773902735</v>
      </c>
      <c r="K91" s="88">
        <f>K74*UF_Assumptions_1!$H6</f>
        <v>25026.63041334075</v>
      </c>
    </row>
    <row r="92" spans="1:16">
      <c r="A92" t="s">
        <v>7</v>
      </c>
      <c r="B92" s="88">
        <f>B75*UF_Assumptions_1!$H7</f>
        <v>26016.484545624979</v>
      </c>
      <c r="C92" s="88">
        <f>C75*UF_Assumptions_1!$H7</f>
        <v>27170.348688307564</v>
      </c>
      <c r="D92" s="88">
        <f>D75*UF_Assumptions_1!$H7</f>
        <v>28370.910951979764</v>
      </c>
      <c r="E92" s="88">
        <f>E75*UF_Assumptions_1!$H7</f>
        <v>29632.452698847683</v>
      </c>
      <c r="F92" s="88">
        <f>F75*UF_Assumptions_1!$H7</f>
        <v>30956.714267181149</v>
      </c>
      <c r="G92" s="88">
        <f>G75*UF_Assumptions_1!$H7</f>
        <v>32298.112882717072</v>
      </c>
      <c r="H92" s="88">
        <f>H75*UF_Assumptions_1!$H7</f>
        <v>33697.165266295866</v>
      </c>
      <c r="I92" s="88">
        <f>I75*UF_Assumptions_1!$H7</f>
        <v>35164.607207651483</v>
      </c>
      <c r="J92" s="88">
        <f>J75*UF_Assumptions_1!$H7</f>
        <v>36695.944972632613</v>
      </c>
      <c r="K92" s="88">
        <f>K75*UF_Assumptions_1!$H7</f>
        <v>38293.959875964356</v>
      </c>
    </row>
    <row r="93" spans="1:16">
      <c r="A93" t="s">
        <v>8</v>
      </c>
      <c r="B93" s="88">
        <f>B76*UF_Assumptions_1!$H8</f>
        <v>28689.635954420595</v>
      </c>
      <c r="C93" s="88">
        <f>C76*UF_Assumptions_1!$H8</f>
        <v>30335.148515759727</v>
      </c>
      <c r="D93" s="88">
        <f>D76*UF_Assumptions_1!$H8</f>
        <v>31948.617271280385</v>
      </c>
      <c r="E93" s="88">
        <f>E76*UF_Assumptions_1!$H8</f>
        <v>33784.762834506182</v>
      </c>
      <c r="F93" s="88">
        <f>F76*UF_Assumptions_1!$H8</f>
        <v>35734.081370261993</v>
      </c>
      <c r="G93" s="88">
        <f>G76*UF_Assumptions_1!$H8</f>
        <v>37782.926230403427</v>
      </c>
      <c r="H93" s="88">
        <f>H76*UF_Assumptions_1!$H8</f>
        <v>39910.890682114885</v>
      </c>
      <c r="I93" s="88">
        <f>I76*UF_Assumptions_1!$H8</f>
        <v>42181.182194971159</v>
      </c>
      <c r="J93" s="88">
        <f>J76*UF_Assumptions_1!$H8</f>
        <v>44580.606980834782</v>
      </c>
      <c r="K93" s="88">
        <f>K76*UF_Assumptions_1!$H8</f>
        <v>47116.508905555907</v>
      </c>
    </row>
    <row r="94" spans="1:16">
      <c r="A94" t="s">
        <v>9</v>
      </c>
      <c r="B94" s="88">
        <f>B77*UF_Assumptions_1!$H9</f>
        <v>21767.388331824965</v>
      </c>
      <c r="C94" s="88">
        <f>C77*UF_Assumptions_1!$H9</f>
        <v>23342.49160396896</v>
      </c>
      <c r="D94" s="88">
        <f>D77*UF_Assumptions_1!$H9</f>
        <v>24980.927501323142</v>
      </c>
      <c r="E94" s="88">
        <f>E77*UF_Assumptions_1!$H9</f>
        <v>26766.516270503449</v>
      </c>
      <c r="F94" s="88">
        <f>F77*UF_Assumptions_1!$H9</f>
        <v>28659.08946201779</v>
      </c>
      <c r="G94" s="88">
        <f>G77*UF_Assumptions_1!$H9</f>
        <v>30732.306407196702</v>
      </c>
      <c r="H94" s="88">
        <f>H77*UF_Assumptions_1!$H9</f>
        <v>32955.040621477521</v>
      </c>
      <c r="I94" s="88">
        <f>I77*UF_Assumptions_1!$H9</f>
        <v>35313.09550158889</v>
      </c>
      <c r="J94" s="88">
        <f>J77*UF_Assumptions_1!$H9</f>
        <v>37839.869419505594</v>
      </c>
      <c r="K94" s="88">
        <f>K77*UF_Assumptions_1!$H9</f>
        <v>40547.433101420633</v>
      </c>
    </row>
    <row r="95" spans="1:16">
      <c r="A95" t="s">
        <v>10</v>
      </c>
      <c r="B95" s="88">
        <f>B78*UF_Assumptions_1!$H10</f>
        <v>18522.992176900549</v>
      </c>
      <c r="C95" s="88">
        <f>C78*UF_Assumptions_1!$H10</f>
        <v>19418.627310929034</v>
      </c>
      <c r="D95" s="88">
        <f>D78*UF_Assumptions_1!$H10</f>
        <v>20296.090333440869</v>
      </c>
      <c r="E95" s="88">
        <f>E78*UF_Assumptions_1!$H10</f>
        <v>21218.882023425394</v>
      </c>
      <c r="F95" s="88">
        <f>F78*UF_Assumptions_1!$H10</f>
        <v>22230.843428114509</v>
      </c>
      <c r="G95" s="88">
        <f>G78*UF_Assumptions_1!$H10</f>
        <v>23327.56505072103</v>
      </c>
      <c r="H95" s="88">
        <f>H78*UF_Assumptions_1!$H10</f>
        <v>24548.053459033508</v>
      </c>
      <c r="I95" s="88">
        <f>I78*UF_Assumptions_1!$H10</f>
        <v>25764.389096072493</v>
      </c>
      <c r="J95" s="88">
        <f>J78*UF_Assumptions_1!$H10</f>
        <v>27040.987079267525</v>
      </c>
      <c r="K95" s="88">
        <f>K78*UF_Assumptions_1!$H10</f>
        <v>28380.83238639211</v>
      </c>
    </row>
    <row r="96" spans="1:16">
      <c r="A96" t="s">
        <v>18</v>
      </c>
      <c r="B96" s="88">
        <f>B79*UF_Assumptions_1!$H11</f>
        <v>30434.055943427102</v>
      </c>
      <c r="C96" s="88">
        <f>C79*UF_Assumptions_1!$H11</f>
        <v>32210.065133524546</v>
      </c>
      <c r="D96" s="88">
        <f>D79*UF_Assumptions_1!$H11</f>
        <v>34116.55204431578</v>
      </c>
      <c r="E96" s="88">
        <f>E79*UF_Assumptions_1!$H11</f>
        <v>36111.424571780313</v>
      </c>
      <c r="F96" s="88">
        <f>F79*UF_Assumptions_1!$H11</f>
        <v>38303.393030072635</v>
      </c>
      <c r="G96" s="88">
        <f>G79*UF_Assumptions_1!$H11</f>
        <v>40614.498318424201</v>
      </c>
      <c r="H96" s="88">
        <f>H79*UF_Assumptions_1!$H11</f>
        <v>43023.819670889126</v>
      </c>
      <c r="I96" s="88">
        <f>I79*UF_Assumptions_1!$H11</f>
        <v>45600.285075559499</v>
      </c>
      <c r="J96" s="88">
        <f>J79*UF_Assumptions_1!$H11</f>
        <v>48331.030295754863</v>
      </c>
      <c r="K96" s="88">
        <f>K79*UF_Assumptions_1!$H11</f>
        <v>51225.292353684505</v>
      </c>
    </row>
    <row r="97" spans="1:16">
      <c r="A97" t="s">
        <v>16</v>
      </c>
      <c r="B97" s="88">
        <f>B80*UF_Assumptions_1!$H12</f>
        <v>10203.843007474117</v>
      </c>
      <c r="C97" s="88">
        <f>C80*UF_Assumptions_1!$H12</f>
        <v>10676.810961007746</v>
      </c>
      <c r="D97" s="88">
        <f>D80*UF_Assumptions_1!$H12</f>
        <v>11180.617885934873</v>
      </c>
      <c r="E97" s="88">
        <f>E80*UF_Assumptions_1!$H12</f>
        <v>11711.332390524436</v>
      </c>
      <c r="F97" s="88">
        <f>F80*UF_Assumptions_1!$H12</f>
        <v>12269.864002303622</v>
      </c>
      <c r="G97" s="88">
        <f>G80*UF_Assumptions_1!$H12</f>
        <v>12862.903537609809</v>
      </c>
      <c r="H97" s="88">
        <f>H80*UF_Assumptions_1!$H12</f>
        <v>13484.418005326192</v>
      </c>
      <c r="I97" s="88">
        <f>I80*UF_Assumptions_1!$H12</f>
        <v>14130.081052469601</v>
      </c>
      <c r="J97" s="88">
        <f>J80*UF_Assumptions_1!$H12</f>
        <v>14806.656514805789</v>
      </c>
      <c r="K97" s="88">
        <f>K80*UF_Assumptions_1!$H12</f>
        <v>15515.624025036452</v>
      </c>
    </row>
    <row r="98" spans="1:16">
      <c r="A98" t="s">
        <v>11</v>
      </c>
      <c r="B98" s="88">
        <f>B81*UF_Assumptions_1!$H13</f>
        <v>6524.743647379607</v>
      </c>
      <c r="C98" s="88">
        <f>C81*UF_Assumptions_1!$H13</f>
        <v>6912.0284026353056</v>
      </c>
      <c r="D98" s="88">
        <f>D81*UF_Assumptions_1!$H13</f>
        <v>7321.1456031753951</v>
      </c>
      <c r="E98" s="88">
        <f>E81*UF_Assumptions_1!$H13</f>
        <v>7756.5540803960139</v>
      </c>
      <c r="F98" s="88">
        <f>F81*UF_Assumptions_1!$H13</f>
        <v>8219.6163068690857</v>
      </c>
      <c r="G98" s="88">
        <f>G81*UF_Assumptions_1!$H13</f>
        <v>8723.7841214080017</v>
      </c>
      <c r="H98" s="88">
        <f>H81*UF_Assumptions_1!$H13</f>
        <v>9215.1145806095192</v>
      </c>
      <c r="I98" s="88">
        <f>I81*UF_Assumptions_1!$H13</f>
        <v>9757.741272490317</v>
      </c>
      <c r="J98" s="88">
        <f>J81*UF_Assumptions_1!$H13</f>
        <v>10332.317902670598</v>
      </c>
      <c r="K98" s="88">
        <f>K81*UF_Assumptions_1!$H13</f>
        <v>10940.725409045381</v>
      </c>
    </row>
    <row r="99" spans="1:16">
      <c r="A99" t="s">
        <v>13</v>
      </c>
      <c r="B99" s="88">
        <f>B82</f>
        <v>13015.934321462773</v>
      </c>
      <c r="C99" s="88">
        <f t="shared" ref="C99:K100" si="19">C82</f>
        <v>13476.024721270978</v>
      </c>
      <c r="D99" s="88">
        <f t="shared" si="19"/>
        <v>13923.220163679234</v>
      </c>
      <c r="E99" s="88">
        <f t="shared" si="19"/>
        <v>14458.753862211928</v>
      </c>
      <c r="F99" s="88">
        <f t="shared" si="19"/>
        <v>15047.036138730071</v>
      </c>
      <c r="G99" s="88">
        <f t="shared" si="19"/>
        <v>15608.734786912868</v>
      </c>
      <c r="H99" s="88">
        <f t="shared" si="19"/>
        <v>16159.948137089295</v>
      </c>
      <c r="I99" s="88">
        <f t="shared" si="19"/>
        <v>16766.700865673727</v>
      </c>
      <c r="J99" s="88">
        <f t="shared" si="19"/>
        <v>17396.231249972214</v>
      </c>
      <c r="K99" s="88">
        <f t="shared" si="19"/>
        <v>18049.393987394586</v>
      </c>
    </row>
    <row r="100" spans="1:16">
      <c r="A100" s="6" t="s">
        <v>71</v>
      </c>
      <c r="B100" s="88">
        <f>B83</f>
        <v>28791.565066927964</v>
      </c>
      <c r="C100" s="88">
        <f t="shared" si="19"/>
        <v>30298.917575967578</v>
      </c>
      <c r="D100" s="88">
        <f t="shared" si="19"/>
        <v>31880.154947029732</v>
      </c>
      <c r="E100" s="88">
        <f t="shared" si="19"/>
        <v>33584.788311616554</v>
      </c>
      <c r="F100" s="88">
        <f t="shared" si="19"/>
        <v>35388.140800757341</v>
      </c>
      <c r="G100" s="88">
        <f t="shared" si="19"/>
        <v>37275.55331184082</v>
      </c>
      <c r="H100" s="88">
        <f t="shared" si="19"/>
        <v>39225.794609276592</v>
      </c>
      <c r="I100" s="88">
        <f t="shared" si="19"/>
        <v>41300.179658613044</v>
      </c>
      <c r="J100" s="88">
        <f t="shared" si="19"/>
        <v>43484.255035020928</v>
      </c>
      <c r="K100" s="88">
        <f t="shared" si="19"/>
        <v>45783.819883571348</v>
      </c>
    </row>
    <row r="101" spans="1:16">
      <c r="A101" s="6" t="s">
        <v>166</v>
      </c>
      <c r="B101" s="88">
        <f>B84*(SUM(B89:B98)/SUM(B72:B81))</f>
        <v>42750.52380312515</v>
      </c>
      <c r="C101" s="88">
        <f t="shared" ref="C101:K101" si="20">C84*(SUM(C89:C98)/SUM(C72:C81))</f>
        <v>45217.653607635351</v>
      </c>
      <c r="D101" s="88">
        <f t="shared" si="20"/>
        <v>47736.78921866219</v>
      </c>
      <c r="E101" s="88">
        <f t="shared" si="20"/>
        <v>50433.486565640851</v>
      </c>
      <c r="F101" s="88">
        <f t="shared" si="20"/>
        <v>53321.052913210573</v>
      </c>
      <c r="G101" s="88">
        <f t="shared" si="20"/>
        <v>56398.22374842767</v>
      </c>
      <c r="H101" s="88">
        <f t="shared" si="20"/>
        <v>59562.43152899063</v>
      </c>
      <c r="I101" s="88">
        <f t="shared" si="20"/>
        <v>62947.601041771013</v>
      </c>
      <c r="J101" s="88">
        <f t="shared" si="20"/>
        <v>66526.566274603698</v>
      </c>
      <c r="K101" s="88">
        <f t="shared" si="20"/>
        <v>70310.508356617574</v>
      </c>
      <c r="N101" s="269">
        <f>K101/(SUM(K89:K98)+K101)</f>
        <v>8.4731803434529518E-2</v>
      </c>
    </row>
    <row r="102" spans="1:16">
      <c r="A102" s="212" t="s">
        <v>218</v>
      </c>
      <c r="B102" s="88">
        <f t="shared" ref="B102:K103" si="21">B68</f>
        <v>0</v>
      </c>
      <c r="C102" s="88">
        <f t="shared" si="21"/>
        <v>0</v>
      </c>
      <c r="D102" s="88">
        <f t="shared" si="21"/>
        <v>0</v>
      </c>
      <c r="E102" s="88">
        <f t="shared" si="21"/>
        <v>0</v>
      </c>
      <c r="F102" s="88">
        <f t="shared" si="21"/>
        <v>0</v>
      </c>
      <c r="G102" s="88">
        <f t="shared" si="21"/>
        <v>0</v>
      </c>
      <c r="H102" s="88">
        <f t="shared" si="21"/>
        <v>0</v>
      </c>
      <c r="I102" s="88">
        <f t="shared" si="21"/>
        <v>0</v>
      </c>
      <c r="J102" s="88">
        <f t="shared" si="21"/>
        <v>0</v>
      </c>
      <c r="K102" s="88">
        <f t="shared" si="21"/>
        <v>0</v>
      </c>
    </row>
    <row r="103" spans="1:16">
      <c r="A103" s="211" t="s">
        <v>276</v>
      </c>
      <c r="B103" s="88">
        <f t="shared" si="21"/>
        <v>0</v>
      </c>
      <c r="C103" s="88">
        <f t="shared" si="21"/>
        <v>0</v>
      </c>
      <c r="D103" s="88">
        <f t="shared" si="21"/>
        <v>0</v>
      </c>
      <c r="E103" s="88">
        <f t="shared" si="21"/>
        <v>0</v>
      </c>
      <c r="F103" s="88">
        <f t="shared" si="21"/>
        <v>0</v>
      </c>
      <c r="G103" s="88">
        <f t="shared" si="21"/>
        <v>0</v>
      </c>
      <c r="H103" s="88">
        <f t="shared" si="21"/>
        <v>0</v>
      </c>
      <c r="I103" s="88">
        <f t="shared" si="21"/>
        <v>0</v>
      </c>
      <c r="J103" s="88">
        <f t="shared" si="21"/>
        <v>0</v>
      </c>
      <c r="K103" s="88">
        <f t="shared" si="21"/>
        <v>0</v>
      </c>
    </row>
    <row r="104" spans="1:16">
      <c r="A104" s="6" t="s">
        <v>98</v>
      </c>
      <c r="B104" s="88">
        <f>SUM(B89:B103)</f>
        <v>543518.79353413358</v>
      </c>
      <c r="C104" s="88">
        <f t="shared" ref="C104:K104" si="22">SUM(C89:C103)</f>
        <v>574079.54787657782</v>
      </c>
      <c r="D104" s="88">
        <f t="shared" si="22"/>
        <v>605808.54733576521</v>
      </c>
      <c r="E104" s="88">
        <f t="shared" si="22"/>
        <v>640528.7870259186</v>
      </c>
      <c r="F104" s="88">
        <f t="shared" si="22"/>
        <v>677696.70100098557</v>
      </c>
      <c r="G104" s="88">
        <f t="shared" si="22"/>
        <v>716217.42698486755</v>
      </c>
      <c r="H104" s="88">
        <f t="shared" si="22"/>
        <v>756709.54607661441</v>
      </c>
      <c r="I104" s="88">
        <f t="shared" si="22"/>
        <v>799819.47894103127</v>
      </c>
      <c r="J104" s="88">
        <f t="shared" si="22"/>
        <v>845412.76799092465</v>
      </c>
      <c r="K104" s="88">
        <f t="shared" si="22"/>
        <v>893633.89680987014</v>
      </c>
      <c r="L104" s="56">
        <f>(B104-B87)/$B$19</f>
        <v>3.8608959351842942E-2</v>
      </c>
      <c r="M104" s="56">
        <f>(K104-K87)/$K$19</f>
        <v>3.8784713716085127E-2</v>
      </c>
      <c r="P104" s="269"/>
    </row>
    <row r="105" spans="1:16" s="6" customFormat="1">
      <c r="A105" s="210" t="s">
        <v>361</v>
      </c>
      <c r="B105" s="285"/>
      <c r="C105" s="285"/>
      <c r="D105" s="285"/>
      <c r="E105" s="285"/>
      <c r="F105" s="285"/>
      <c r="G105" s="285"/>
      <c r="H105" s="285"/>
      <c r="I105" s="285"/>
      <c r="J105" s="285"/>
      <c r="K105" s="285"/>
      <c r="L105" s="299"/>
      <c r="M105" s="299"/>
    </row>
    <row r="106" spans="1:16">
      <c r="A106" t="s">
        <v>4</v>
      </c>
      <c r="B106" s="88">
        <f>B89*UF_Assumptions_1!$I4</f>
        <v>163701.34411711176</v>
      </c>
      <c r="C106" s="88">
        <f>C89*UF_Assumptions_1!$I4</f>
        <v>173418.05306657156</v>
      </c>
      <c r="D106" s="88">
        <f>D89*UF_Assumptions_1!$I4</f>
        <v>183509.07406747006</v>
      </c>
      <c r="E106" s="88">
        <f>E89*UF_Assumptions_1!$I4</f>
        <v>194606.44970660275</v>
      </c>
      <c r="F106" s="88">
        <f>F89*UF_Assumptions_1!$I4</f>
        <v>207003.29304411117</v>
      </c>
      <c r="G106" s="88">
        <f>G89*UF_Assumptions_1!$I4</f>
        <v>219286.14633793768</v>
      </c>
      <c r="H106" s="88">
        <f>H89*UF_Assumptions_1!$I4</f>
        <v>232294.57476981299</v>
      </c>
      <c r="I106" s="88">
        <f>I89*UF_Assumptions_1!$I4</f>
        <v>246360.34369976353</v>
      </c>
      <c r="J106" s="88">
        <f>J89*UF_Assumptions_1!$I4</f>
        <v>261277.75638573107</v>
      </c>
      <c r="K106" s="88">
        <f>K89*UF_Assumptions_1!$I4</f>
        <v>277098.37036155129</v>
      </c>
    </row>
    <row r="107" spans="1:16">
      <c r="A107" t="s">
        <v>5</v>
      </c>
      <c r="B107" s="88">
        <f>B90*UF_Assumptions_1!$I5</f>
        <v>123004.95380599919</v>
      </c>
      <c r="C107" s="88">
        <f>C90*UF_Assumptions_1!$I5</f>
        <v>129813.88952967607</v>
      </c>
      <c r="D107" s="88">
        <f>D90*UF_Assumptions_1!$I5</f>
        <v>136978.11715017905</v>
      </c>
      <c r="E107" s="88">
        <f>E90*UF_Assumptions_1!$I5</f>
        <v>144987.53974399122</v>
      </c>
      <c r="F107" s="88">
        <f>F90*UF_Assumptions_1!$I5</f>
        <v>153062.886902812</v>
      </c>
      <c r="G107" s="88">
        <f>G90*UF_Assumptions_1!$I5</f>
        <v>161685.77008914479</v>
      </c>
      <c r="H107" s="88">
        <f>H90*UF_Assumptions_1!$I5</f>
        <v>170792.04123921864</v>
      </c>
      <c r="I107" s="88">
        <f>I90*UF_Assumptions_1!$I5</f>
        <v>180336.55028492719</v>
      </c>
      <c r="J107" s="88">
        <f>J90*UF_Assumptions_1!$I5</f>
        <v>190414.40004224906</v>
      </c>
      <c r="K107" s="88">
        <f>K90*UF_Assumptions_1!$I5</f>
        <v>201055.38822164084</v>
      </c>
    </row>
    <row r="108" spans="1:16">
      <c r="A108" t="s">
        <v>6</v>
      </c>
      <c r="B108" s="88">
        <f>B91*UF_Assumptions_1!$I6</f>
        <v>14846.36606553379</v>
      </c>
      <c r="C108" s="88">
        <f>C91*UF_Assumptions_1!$I6</f>
        <v>15668.186237344358</v>
      </c>
      <c r="D108" s="88">
        <f>D91*UF_Assumptions_1!$I6</f>
        <v>16532.889182548894</v>
      </c>
      <c r="E108" s="88">
        <f>E91*UF_Assumptions_1!$I6</f>
        <v>17433.443803700426</v>
      </c>
      <c r="F108" s="88">
        <f>F91*UF_Assumptions_1!$I6</f>
        <v>18386.986497687139</v>
      </c>
      <c r="G108" s="88">
        <f>G91*UF_Assumptions_1!$I6</f>
        <v>19404.434817995611</v>
      </c>
      <c r="H108" s="88">
        <f>H91*UF_Assumptions_1!$I6</f>
        <v>20458.487358962069</v>
      </c>
      <c r="I108" s="88">
        <f>I91*UF_Assumptions_1!$I6</f>
        <v>21574.501873352096</v>
      </c>
      <c r="J108" s="88">
        <f>J91*UF_Assumptions_1!$I6</f>
        <v>22751.390089435594</v>
      </c>
      <c r="K108" s="88">
        <f>K91*UF_Assumptions_1!$I6</f>
        <v>23992.471809759092</v>
      </c>
    </row>
    <row r="109" spans="1:16">
      <c r="A109" t="s">
        <v>7</v>
      </c>
      <c r="B109" s="88">
        <f>B92*UF_Assumptions_1!$I7</f>
        <v>24941.422865988505</v>
      </c>
      <c r="C109" s="88">
        <f>C92*UF_Assumptions_1!$I7</f>
        <v>26047.606657348864</v>
      </c>
      <c r="D109" s="88">
        <f>D92*UF_Assumptions_1!$I7</f>
        <v>27198.558894676877</v>
      </c>
      <c r="E109" s="88">
        <f>E92*UF_Assumptions_1!$I7</f>
        <v>28407.970801060739</v>
      </c>
      <c r="F109" s="88">
        <f>F92*UF_Assumptions_1!$I7</f>
        <v>29677.510799943349</v>
      </c>
      <c r="G109" s="88">
        <f>G92*UF_Assumptions_1!$I7</f>
        <v>30963.479703361514</v>
      </c>
      <c r="H109" s="88">
        <f>H92*UF_Assumptions_1!$I7</f>
        <v>32304.71998697146</v>
      </c>
      <c r="I109" s="88">
        <f>I92*UF_Assumptions_1!$I7</f>
        <v>33711.523812694038</v>
      </c>
      <c r="J109" s="88">
        <f>J92*UF_Assumptions_1!$I7</f>
        <v>35179.583137929614</v>
      </c>
      <c r="K109" s="88">
        <f>K92*UF_Assumptions_1!$I7</f>
        <v>36711.56434700697</v>
      </c>
    </row>
    <row r="110" spans="1:16">
      <c r="A110" t="s">
        <v>8</v>
      </c>
      <c r="B110" s="88">
        <f>B93*UF_Assumptions_1!$I8</f>
        <v>27504.113438370092</v>
      </c>
      <c r="C110" s="88">
        <f>C93*UF_Assumptions_1!$I8</f>
        <v>29081.629591702836</v>
      </c>
      <c r="D110" s="88">
        <f>D93*UF_Assumptions_1!$I8</f>
        <v>30628.426063836818</v>
      </c>
      <c r="E110" s="88">
        <f>E93*UF_Assumptions_1!$I8</f>
        <v>32388.697819831017</v>
      </c>
      <c r="F110" s="88">
        <f>F93*UF_Assumptions_1!$I8</f>
        <v>34257.465977786131</v>
      </c>
      <c r="G110" s="88">
        <f>G93*UF_Assumptions_1!$I8</f>
        <v>36221.647800813713</v>
      </c>
      <c r="H110" s="88">
        <f>H93*UF_Assumptions_1!$I8</f>
        <v>38261.679809782887</v>
      </c>
      <c r="I110" s="88">
        <f>I93*UF_Assumptions_1!$I8</f>
        <v>40438.157594547054</v>
      </c>
      <c r="J110" s="88">
        <f>J93*UF_Assumptions_1!$I8</f>
        <v>42738.432564995448</v>
      </c>
      <c r="K110" s="88">
        <f>K93*UF_Assumptions_1!$I8</f>
        <v>45169.545121352719</v>
      </c>
    </row>
    <row r="111" spans="1:16">
      <c r="A111" t="s">
        <v>9</v>
      </c>
      <c r="B111" s="88">
        <f>B94*UF_Assumptions_1!$I9</f>
        <v>20867.90919503873</v>
      </c>
      <c r="C111" s="88">
        <f>C94*UF_Assumptions_1!$I9</f>
        <v>22377.925534842485</v>
      </c>
      <c r="D111" s="88">
        <f>D94*UF_Assumptions_1!$I9</f>
        <v>23948.657448412952</v>
      </c>
      <c r="E111" s="88">
        <f>E94*UF_Assumptions_1!$I9</f>
        <v>25660.461534733106</v>
      </c>
      <c r="F111" s="88">
        <f>F94*UF_Assumptions_1!$I9</f>
        <v>27474.829198112537</v>
      </c>
      <c r="G111" s="88">
        <f>G94*UF_Assumptions_1!$I9</f>
        <v>29462.375994912018</v>
      </c>
      <c r="H111" s="88">
        <f>H94*UF_Assumptions_1!$I9</f>
        <v>31593.261659339776</v>
      </c>
      <c r="I111" s="88">
        <f>I94*UF_Assumptions_1!$I9</f>
        <v>33853.87622480595</v>
      </c>
      <c r="J111" s="88">
        <f>J94*UF_Assumptions_1!$I9</f>
        <v>36276.237964840075</v>
      </c>
      <c r="K111" s="88">
        <f>K94*UF_Assumptions_1!$I9</f>
        <v>38871.918815141275</v>
      </c>
    </row>
    <row r="112" spans="1:16">
      <c r="A112" t="s">
        <v>10</v>
      </c>
      <c r="B112" s="88">
        <f>B95*UF_Assumptions_1!$I10</f>
        <v>17757.579038677741</v>
      </c>
      <c r="C112" s="88">
        <f>C95*UF_Assumptions_1!$I10</f>
        <v>18616.204444899169</v>
      </c>
      <c r="D112" s="88">
        <f>D95*UF_Assumptions_1!$I10</f>
        <v>19457.408653536819</v>
      </c>
      <c r="E112" s="88">
        <f>E95*UF_Assumptions_1!$I10</f>
        <v>20342.06844363112</v>
      </c>
      <c r="F112" s="88">
        <f>F95*UF_Assumptions_1!$I10</f>
        <v>21312.213248327851</v>
      </c>
      <c r="G112" s="88">
        <f>G95*UF_Assumptions_1!$I10</f>
        <v>22363.615781507619</v>
      </c>
      <c r="H112" s="88">
        <f>H95*UF_Assumptions_1!$I10</f>
        <v>23533.670768812877</v>
      </c>
      <c r="I112" s="88">
        <f>I95*UF_Assumptions_1!$I10</f>
        <v>24699.744587016823</v>
      </c>
      <c r="J112" s="88">
        <f>J95*UF_Assumptions_1!$I10</f>
        <v>25923.590571008142</v>
      </c>
      <c r="K112" s="88">
        <f>K95*UF_Assumptions_1!$I10</f>
        <v>27208.070352332947</v>
      </c>
    </row>
    <row r="113" spans="1:16">
      <c r="A113" t="s">
        <v>18</v>
      </c>
      <c r="B113" s="88">
        <f>B96*UF_Assumptions_1!$I11</f>
        <v>30129.715383992829</v>
      </c>
      <c r="C113" s="88">
        <f>C96*UF_Assumptions_1!$I11</f>
        <v>31887.964482189302</v>
      </c>
      <c r="D113" s="88">
        <f>D96*UF_Assumptions_1!$I11</f>
        <v>33775.386523872621</v>
      </c>
      <c r="E113" s="88">
        <f>E96*UF_Assumptions_1!$I11</f>
        <v>35750.310326062507</v>
      </c>
      <c r="F113" s="88">
        <f>F96*UF_Assumptions_1!$I11</f>
        <v>37920.359099771907</v>
      </c>
      <c r="G113" s="88">
        <f>G96*UF_Assumptions_1!$I11</f>
        <v>40208.353335239961</v>
      </c>
      <c r="H113" s="88">
        <f>H96*UF_Assumptions_1!$I11</f>
        <v>42593.581474180231</v>
      </c>
      <c r="I113" s="88">
        <f>I96*UF_Assumptions_1!$I11</f>
        <v>45144.282224803901</v>
      </c>
      <c r="J113" s="88">
        <f>J96*UF_Assumptions_1!$I11</f>
        <v>47847.719992797312</v>
      </c>
      <c r="K113" s="88">
        <f>K96*UF_Assumptions_1!$I11</f>
        <v>50713.039430147663</v>
      </c>
    </row>
    <row r="114" spans="1:16">
      <c r="A114" t="s">
        <v>16</v>
      </c>
      <c r="B114" s="88">
        <f>B97*UF_Assumptions_1!$I12</f>
        <v>9782.1964709051808</v>
      </c>
      <c r="C114" s="88">
        <f>C97*UF_Assumptions_1!$I12</f>
        <v>10235.620288041428</v>
      </c>
      <c r="D114" s="88">
        <f>D97*UF_Assumptions_1!$I12</f>
        <v>10718.608738513452</v>
      </c>
      <c r="E114" s="88">
        <f>E97*UF_Assumptions_1!$I12</f>
        <v>11227.392884844547</v>
      </c>
      <c r="F114" s="88">
        <f>F97*UF_Assumptions_1!$I12</f>
        <v>11762.844670768076</v>
      </c>
      <c r="G114" s="88">
        <f>G97*UF_Assumptions_1!$I12</f>
        <v>12331.378432521382</v>
      </c>
      <c r="H114" s="88">
        <f>H97*UF_Assumptions_1!$I12</f>
        <v>12927.210476218879</v>
      </c>
      <c r="I114" s="88">
        <f>I97*UF_Assumptions_1!$I12</f>
        <v>13546.193223849727</v>
      </c>
      <c r="J114" s="88">
        <f>J97*UF_Assumptions_1!$I12</f>
        <v>14194.81101374695</v>
      </c>
      <c r="K114" s="88">
        <f>K97*UF_Assumptions_1!$I12</f>
        <v>14874.482336746029</v>
      </c>
    </row>
    <row r="115" spans="1:16">
      <c r="A115" t="s">
        <v>11</v>
      </c>
      <c r="B115" s="88">
        <f>B98*UF_Assumptions_1!$I13</f>
        <v>6255.1260573301888</v>
      </c>
      <c r="C115" s="88">
        <f>C98*UF_Assumptions_1!$I13</f>
        <v>6626.4073053190768</v>
      </c>
      <c r="D115" s="88">
        <f>D98*UF_Assumptions_1!$I13</f>
        <v>7018.6188311509068</v>
      </c>
      <c r="E115" s="88">
        <f>E98*UF_Assumptions_1!$I13</f>
        <v>7436.0352169331964</v>
      </c>
      <c r="F115" s="88">
        <f>F98*UF_Assumptions_1!$I13</f>
        <v>7879.962634700837</v>
      </c>
      <c r="G115" s="88">
        <f>G98*UF_Assumptions_1!$I13</f>
        <v>8363.2970619861317</v>
      </c>
      <c r="H115" s="88">
        <f>H98*UF_Assumptions_1!$I13</f>
        <v>8834.3246033280357</v>
      </c>
      <c r="I115" s="88">
        <f>I98*UF_Assumptions_1!$I13</f>
        <v>9354.5286976528132</v>
      </c>
      <c r="J115" s="88">
        <f>J98*UF_Assumptions_1!$I13</f>
        <v>9905.3624844816713</v>
      </c>
      <c r="K115" s="88">
        <f>K98*UF_Assumptions_1!$I13</f>
        <v>10488.629176979019</v>
      </c>
    </row>
    <row r="116" spans="1:16">
      <c r="A116" t="s">
        <v>13</v>
      </c>
      <c r="B116" s="88">
        <f>B99</f>
        <v>13015.934321462773</v>
      </c>
      <c r="C116" s="88">
        <f t="shared" ref="C116:K117" si="23">C99</f>
        <v>13476.024721270978</v>
      </c>
      <c r="D116" s="88">
        <f t="shared" si="23"/>
        <v>13923.220163679234</v>
      </c>
      <c r="E116" s="88">
        <f t="shared" si="23"/>
        <v>14458.753862211928</v>
      </c>
      <c r="F116" s="88">
        <f t="shared" si="23"/>
        <v>15047.036138730071</v>
      </c>
      <c r="G116" s="88">
        <f t="shared" si="23"/>
        <v>15608.734786912868</v>
      </c>
      <c r="H116" s="88">
        <f t="shared" si="23"/>
        <v>16159.948137089295</v>
      </c>
      <c r="I116" s="88">
        <f t="shared" si="23"/>
        <v>16766.700865673727</v>
      </c>
      <c r="J116" s="88">
        <f t="shared" si="23"/>
        <v>17396.231249972214</v>
      </c>
      <c r="K116" s="88">
        <f t="shared" si="23"/>
        <v>18049.393987394586</v>
      </c>
    </row>
    <row r="117" spans="1:16">
      <c r="A117" s="6" t="s">
        <v>71</v>
      </c>
      <c r="B117" s="88">
        <f>B100</f>
        <v>28791.565066927964</v>
      </c>
      <c r="C117" s="88">
        <f t="shared" si="23"/>
        <v>30298.917575967578</v>
      </c>
      <c r="D117" s="88">
        <f t="shared" si="23"/>
        <v>31880.154947029732</v>
      </c>
      <c r="E117" s="88">
        <f t="shared" si="23"/>
        <v>33584.788311616554</v>
      </c>
      <c r="F117" s="88">
        <f t="shared" si="23"/>
        <v>35388.140800757341</v>
      </c>
      <c r="G117" s="88">
        <f t="shared" si="23"/>
        <v>37275.55331184082</v>
      </c>
      <c r="H117" s="88">
        <f t="shared" si="23"/>
        <v>39225.794609276592</v>
      </c>
      <c r="I117" s="88">
        <f t="shared" si="23"/>
        <v>41300.179658613044</v>
      </c>
      <c r="J117" s="88">
        <f t="shared" si="23"/>
        <v>43484.255035020928</v>
      </c>
      <c r="K117" s="88">
        <f t="shared" si="23"/>
        <v>45783.819883571348</v>
      </c>
    </row>
    <row r="118" spans="1:16">
      <c r="A118" s="6" t="s">
        <v>166</v>
      </c>
      <c r="B118" s="285">
        <f>B101*(SUM(B106:B115)/SUM(B89:B98))</f>
        <v>40871.757691219311</v>
      </c>
      <c r="C118" s="285">
        <f t="shared" ref="C118:K118" si="24">C101*(SUM(C106:C115)/SUM(C89:C98))</f>
        <v>43230.906971564014</v>
      </c>
      <c r="D118" s="285">
        <f t="shared" si="24"/>
        <v>45639.834386870396</v>
      </c>
      <c r="E118" s="285">
        <f t="shared" si="24"/>
        <v>48218.031493861949</v>
      </c>
      <c r="F118" s="285">
        <f t="shared" si="24"/>
        <v>50979.688970020718</v>
      </c>
      <c r="G118" s="285">
        <f t="shared" si="24"/>
        <v>53922.344234075696</v>
      </c>
      <c r="H118" s="285">
        <f t="shared" si="24"/>
        <v>56948.151668563893</v>
      </c>
      <c r="I118" s="285">
        <f t="shared" si="24"/>
        <v>60185.522266036685</v>
      </c>
      <c r="J118" s="285">
        <f t="shared" si="24"/>
        <v>63608.275554139676</v>
      </c>
      <c r="K118" s="285">
        <f t="shared" si="24"/>
        <v>67227.110166549377</v>
      </c>
      <c r="L118" s="299"/>
      <c r="M118" s="299"/>
      <c r="N118" s="261">
        <f>K118/(SUM(K106:K115)+K118)</f>
        <v>8.4731803434529518E-2</v>
      </c>
    </row>
    <row r="119" spans="1:16">
      <c r="A119" s="212" t="s">
        <v>218</v>
      </c>
      <c r="B119" s="88">
        <f t="shared" ref="B119:K120" si="25">B136</f>
        <v>0</v>
      </c>
      <c r="C119" s="88">
        <f t="shared" si="25"/>
        <v>0</v>
      </c>
      <c r="D119" s="88">
        <f t="shared" si="25"/>
        <v>0</v>
      </c>
      <c r="E119" s="88">
        <f t="shared" si="25"/>
        <v>0</v>
      </c>
      <c r="F119" s="88">
        <f t="shared" si="25"/>
        <v>0</v>
      </c>
      <c r="G119" s="88">
        <f t="shared" si="25"/>
        <v>0</v>
      </c>
      <c r="H119" s="88">
        <f t="shared" si="25"/>
        <v>0</v>
      </c>
      <c r="I119" s="88">
        <f t="shared" si="25"/>
        <v>0</v>
      </c>
      <c r="J119" s="88">
        <f t="shared" si="25"/>
        <v>0</v>
      </c>
      <c r="K119" s="88">
        <f t="shared" si="25"/>
        <v>0</v>
      </c>
    </row>
    <row r="120" spans="1:16">
      <c r="A120" s="211" t="s">
        <v>276</v>
      </c>
      <c r="B120" s="88">
        <f t="shared" si="25"/>
        <v>0</v>
      </c>
      <c r="C120" s="88">
        <f t="shared" si="25"/>
        <v>0</v>
      </c>
      <c r="D120" s="88">
        <f t="shared" si="25"/>
        <v>0</v>
      </c>
      <c r="E120" s="88">
        <f t="shared" si="25"/>
        <v>0</v>
      </c>
      <c r="F120" s="88">
        <f t="shared" si="25"/>
        <v>0</v>
      </c>
      <c r="G120" s="88">
        <f t="shared" si="25"/>
        <v>0</v>
      </c>
      <c r="H120" s="88">
        <f t="shared" si="25"/>
        <v>0</v>
      </c>
      <c r="I120" s="88">
        <f t="shared" si="25"/>
        <v>0</v>
      </c>
      <c r="J120" s="88">
        <f t="shared" si="25"/>
        <v>0</v>
      </c>
      <c r="K120" s="88">
        <f t="shared" si="25"/>
        <v>0</v>
      </c>
    </row>
    <row r="121" spans="1:16">
      <c r="A121" s="6" t="s">
        <v>98</v>
      </c>
      <c r="B121" s="88">
        <f>SUM(B106:B120)</f>
        <v>521469.98351855803</v>
      </c>
      <c r="C121" s="88">
        <f t="shared" ref="C121:K121" si="26">SUM(C106:C120)</f>
        <v>550779.33640673768</v>
      </c>
      <c r="D121" s="88">
        <f t="shared" si="26"/>
        <v>581208.95505177788</v>
      </c>
      <c r="E121" s="88">
        <f t="shared" si="26"/>
        <v>614501.943949081</v>
      </c>
      <c r="F121" s="88">
        <f t="shared" si="26"/>
        <v>650153.2179835292</v>
      </c>
      <c r="G121" s="88">
        <f t="shared" si="26"/>
        <v>687097.13168825</v>
      </c>
      <c r="H121" s="88">
        <f t="shared" si="26"/>
        <v>725927.44656155747</v>
      </c>
      <c r="I121" s="88">
        <f t="shared" si="26"/>
        <v>767272.10501373676</v>
      </c>
      <c r="J121" s="88">
        <f t="shared" si="26"/>
        <v>810998.04608634778</v>
      </c>
      <c r="K121" s="88">
        <f t="shared" si="26"/>
        <v>857243.80401017331</v>
      </c>
      <c r="L121" s="56">
        <f>(B121-B104)/$B$19</f>
        <v>-4.2647084472694816E-2</v>
      </c>
      <c r="M121" s="56">
        <f>(K121-K104)/$K$19</f>
        <v>-4.2790746932713147E-2</v>
      </c>
      <c r="P121" s="269"/>
    </row>
    <row r="122" spans="1:16">
      <c r="A122" s="210" t="s">
        <v>315</v>
      </c>
      <c r="B122" s="285"/>
      <c r="C122" s="285"/>
      <c r="D122" s="285"/>
      <c r="E122" s="285"/>
      <c r="F122" s="285"/>
      <c r="G122" s="285"/>
      <c r="H122" s="285"/>
      <c r="I122" s="285"/>
      <c r="J122" s="285"/>
      <c r="K122" s="285"/>
      <c r="L122" s="299"/>
    </row>
    <row r="123" spans="1:16">
      <c r="A123" s="6" t="s">
        <v>4</v>
      </c>
      <c r="B123" s="285">
        <f>B106</f>
        <v>163701.34411711176</v>
      </c>
      <c r="C123" s="285">
        <f t="shared" ref="C123:K123" si="27">C106</f>
        <v>173418.05306657156</v>
      </c>
      <c r="D123" s="285">
        <f t="shared" si="27"/>
        <v>183509.07406747006</v>
      </c>
      <c r="E123" s="285">
        <f t="shared" si="27"/>
        <v>194606.44970660275</v>
      </c>
      <c r="F123" s="285">
        <f t="shared" si="27"/>
        <v>207003.29304411117</v>
      </c>
      <c r="G123" s="285">
        <f t="shared" si="27"/>
        <v>219286.14633793768</v>
      </c>
      <c r="H123" s="285">
        <f t="shared" si="27"/>
        <v>232294.57476981299</v>
      </c>
      <c r="I123" s="285">
        <f t="shared" si="27"/>
        <v>246360.34369976353</v>
      </c>
      <c r="J123" s="285">
        <f t="shared" si="27"/>
        <v>261277.75638573107</v>
      </c>
      <c r="K123" s="285">
        <f t="shared" si="27"/>
        <v>277098.37036155129</v>
      </c>
      <c r="L123" s="299"/>
    </row>
    <row r="124" spans="1:16">
      <c r="A124" s="6" t="s">
        <v>5</v>
      </c>
      <c r="B124" s="285">
        <f t="shared" ref="B124:K134" si="28">B107</f>
        <v>123004.95380599919</v>
      </c>
      <c r="C124" s="285">
        <f t="shared" si="28"/>
        <v>129813.88952967607</v>
      </c>
      <c r="D124" s="285">
        <f t="shared" si="28"/>
        <v>136978.11715017905</v>
      </c>
      <c r="E124" s="285">
        <f t="shared" si="28"/>
        <v>144987.53974399122</v>
      </c>
      <c r="F124" s="285">
        <f t="shared" si="28"/>
        <v>153062.886902812</v>
      </c>
      <c r="G124" s="285">
        <f t="shared" si="28"/>
        <v>161685.77008914479</v>
      </c>
      <c r="H124" s="285">
        <f t="shared" si="28"/>
        <v>170792.04123921864</v>
      </c>
      <c r="I124" s="285">
        <f t="shared" si="28"/>
        <v>180336.55028492719</v>
      </c>
      <c r="J124" s="285">
        <f t="shared" si="28"/>
        <v>190414.40004224906</v>
      </c>
      <c r="K124" s="285">
        <f t="shared" si="28"/>
        <v>201055.38822164084</v>
      </c>
      <c r="L124" s="299"/>
    </row>
    <row r="125" spans="1:16">
      <c r="A125" s="6" t="s">
        <v>6</v>
      </c>
      <c r="B125" s="285">
        <f t="shared" si="28"/>
        <v>14846.36606553379</v>
      </c>
      <c r="C125" s="285">
        <f t="shared" si="28"/>
        <v>15668.186237344358</v>
      </c>
      <c r="D125" s="285">
        <f t="shared" si="28"/>
        <v>16532.889182548894</v>
      </c>
      <c r="E125" s="285">
        <f t="shared" si="28"/>
        <v>17433.443803700426</v>
      </c>
      <c r="F125" s="285">
        <f t="shared" si="28"/>
        <v>18386.986497687139</v>
      </c>
      <c r="G125" s="285">
        <f t="shared" si="28"/>
        <v>19404.434817995611</v>
      </c>
      <c r="H125" s="285">
        <f t="shared" si="28"/>
        <v>20458.487358962069</v>
      </c>
      <c r="I125" s="285">
        <f t="shared" si="28"/>
        <v>21574.501873352096</v>
      </c>
      <c r="J125" s="285">
        <f t="shared" si="28"/>
        <v>22751.390089435594</v>
      </c>
      <c r="K125" s="285">
        <f t="shared" si="28"/>
        <v>23992.471809759092</v>
      </c>
      <c r="L125" s="299"/>
    </row>
    <row r="126" spans="1:16">
      <c r="A126" s="6" t="s">
        <v>7</v>
      </c>
      <c r="B126" s="285">
        <f t="shared" si="28"/>
        <v>24941.422865988505</v>
      </c>
      <c r="C126" s="285">
        <f t="shared" si="28"/>
        <v>26047.606657348864</v>
      </c>
      <c r="D126" s="285">
        <f t="shared" si="28"/>
        <v>27198.558894676877</v>
      </c>
      <c r="E126" s="285">
        <f t="shared" si="28"/>
        <v>28407.970801060739</v>
      </c>
      <c r="F126" s="285">
        <f t="shared" si="28"/>
        <v>29677.510799943349</v>
      </c>
      <c r="G126" s="285">
        <f t="shared" si="28"/>
        <v>30963.479703361514</v>
      </c>
      <c r="H126" s="285">
        <f t="shared" si="28"/>
        <v>32304.71998697146</v>
      </c>
      <c r="I126" s="285">
        <f t="shared" si="28"/>
        <v>33711.523812694038</v>
      </c>
      <c r="J126" s="285">
        <f t="shared" si="28"/>
        <v>35179.583137929614</v>
      </c>
      <c r="K126" s="285">
        <f t="shared" si="28"/>
        <v>36711.56434700697</v>
      </c>
      <c r="L126" s="299"/>
    </row>
    <row r="127" spans="1:16">
      <c r="A127" s="6" t="s">
        <v>8</v>
      </c>
      <c r="B127" s="285">
        <f t="shared" si="28"/>
        <v>27504.113438370092</v>
      </c>
      <c r="C127" s="285">
        <f t="shared" si="28"/>
        <v>29081.629591702836</v>
      </c>
      <c r="D127" s="285">
        <f t="shared" si="28"/>
        <v>30628.426063836818</v>
      </c>
      <c r="E127" s="285">
        <f t="shared" si="28"/>
        <v>32388.697819831017</v>
      </c>
      <c r="F127" s="285">
        <f t="shared" si="28"/>
        <v>34257.465977786131</v>
      </c>
      <c r="G127" s="285">
        <f t="shared" si="28"/>
        <v>36221.647800813713</v>
      </c>
      <c r="H127" s="285">
        <f t="shared" si="28"/>
        <v>38261.679809782887</v>
      </c>
      <c r="I127" s="285">
        <f t="shared" si="28"/>
        <v>40438.157594547054</v>
      </c>
      <c r="J127" s="285">
        <f t="shared" si="28"/>
        <v>42738.432564995448</v>
      </c>
      <c r="K127" s="285">
        <f t="shared" si="28"/>
        <v>45169.545121352719</v>
      </c>
      <c r="L127" s="299"/>
    </row>
    <row r="128" spans="1:16">
      <c r="A128" s="6" t="s">
        <v>9</v>
      </c>
      <c r="B128" s="285">
        <f t="shared" si="28"/>
        <v>20867.90919503873</v>
      </c>
      <c r="C128" s="285">
        <f t="shared" si="28"/>
        <v>22377.925534842485</v>
      </c>
      <c r="D128" s="285">
        <f t="shared" si="28"/>
        <v>23948.657448412952</v>
      </c>
      <c r="E128" s="285">
        <f t="shared" si="28"/>
        <v>25660.461534733106</v>
      </c>
      <c r="F128" s="285">
        <f t="shared" si="28"/>
        <v>27474.829198112537</v>
      </c>
      <c r="G128" s="285">
        <f t="shared" si="28"/>
        <v>29462.375994912018</v>
      </c>
      <c r="H128" s="285">
        <f t="shared" si="28"/>
        <v>31593.261659339776</v>
      </c>
      <c r="I128" s="285">
        <f t="shared" si="28"/>
        <v>33853.87622480595</v>
      </c>
      <c r="J128" s="285">
        <f t="shared" si="28"/>
        <v>36276.237964840075</v>
      </c>
      <c r="K128" s="285">
        <f t="shared" si="28"/>
        <v>38871.918815141275</v>
      </c>
      <c r="L128" s="299"/>
    </row>
    <row r="129" spans="1:16">
      <c r="A129" s="6" t="s">
        <v>10</v>
      </c>
      <c r="B129" s="285">
        <f t="shared" si="28"/>
        <v>17757.579038677741</v>
      </c>
      <c r="C129" s="285">
        <f t="shared" si="28"/>
        <v>18616.204444899169</v>
      </c>
      <c r="D129" s="285">
        <f t="shared" si="28"/>
        <v>19457.408653536819</v>
      </c>
      <c r="E129" s="285">
        <f t="shared" si="28"/>
        <v>20342.06844363112</v>
      </c>
      <c r="F129" s="285">
        <f t="shared" si="28"/>
        <v>21312.213248327851</v>
      </c>
      <c r="G129" s="285">
        <f t="shared" si="28"/>
        <v>22363.615781507619</v>
      </c>
      <c r="H129" s="285">
        <f t="shared" si="28"/>
        <v>23533.670768812877</v>
      </c>
      <c r="I129" s="285">
        <f t="shared" si="28"/>
        <v>24699.744587016823</v>
      </c>
      <c r="J129" s="285">
        <f t="shared" si="28"/>
        <v>25923.590571008142</v>
      </c>
      <c r="K129" s="285">
        <f t="shared" si="28"/>
        <v>27208.070352332947</v>
      </c>
      <c r="L129" s="299"/>
    </row>
    <row r="130" spans="1:16">
      <c r="A130" s="6" t="s">
        <v>18</v>
      </c>
      <c r="B130" s="285">
        <f t="shared" si="28"/>
        <v>30129.715383992829</v>
      </c>
      <c r="C130" s="285">
        <f t="shared" si="28"/>
        <v>31887.964482189302</v>
      </c>
      <c r="D130" s="285">
        <f t="shared" si="28"/>
        <v>33775.386523872621</v>
      </c>
      <c r="E130" s="285">
        <f t="shared" si="28"/>
        <v>35750.310326062507</v>
      </c>
      <c r="F130" s="285">
        <f t="shared" si="28"/>
        <v>37920.359099771907</v>
      </c>
      <c r="G130" s="285">
        <f t="shared" si="28"/>
        <v>40208.353335239961</v>
      </c>
      <c r="H130" s="285">
        <f t="shared" si="28"/>
        <v>42593.581474180231</v>
      </c>
      <c r="I130" s="285">
        <f t="shared" si="28"/>
        <v>45144.282224803901</v>
      </c>
      <c r="J130" s="285">
        <f t="shared" si="28"/>
        <v>47847.719992797312</v>
      </c>
      <c r="K130" s="285">
        <f t="shared" si="28"/>
        <v>50713.039430147663</v>
      </c>
      <c r="L130" s="299"/>
    </row>
    <row r="131" spans="1:16">
      <c r="A131" s="6" t="s">
        <v>16</v>
      </c>
      <c r="B131" s="285">
        <f t="shared" si="28"/>
        <v>9782.1964709051808</v>
      </c>
      <c r="C131" s="285">
        <f t="shared" si="28"/>
        <v>10235.620288041428</v>
      </c>
      <c r="D131" s="285">
        <f t="shared" si="28"/>
        <v>10718.608738513452</v>
      </c>
      <c r="E131" s="285">
        <f t="shared" si="28"/>
        <v>11227.392884844547</v>
      </c>
      <c r="F131" s="285">
        <f t="shared" si="28"/>
        <v>11762.844670768076</v>
      </c>
      <c r="G131" s="285">
        <f t="shared" si="28"/>
        <v>12331.378432521382</v>
      </c>
      <c r="H131" s="285">
        <f t="shared" si="28"/>
        <v>12927.210476218879</v>
      </c>
      <c r="I131" s="285">
        <f t="shared" si="28"/>
        <v>13546.193223849727</v>
      </c>
      <c r="J131" s="285">
        <f t="shared" si="28"/>
        <v>14194.81101374695</v>
      </c>
      <c r="K131" s="285">
        <f t="shared" si="28"/>
        <v>14874.482336746029</v>
      </c>
      <c r="L131" s="299"/>
    </row>
    <row r="132" spans="1:16">
      <c r="A132" s="6" t="s">
        <v>11</v>
      </c>
      <c r="B132" s="285">
        <f t="shared" si="28"/>
        <v>6255.1260573301888</v>
      </c>
      <c r="C132" s="285">
        <f t="shared" si="28"/>
        <v>6626.4073053190768</v>
      </c>
      <c r="D132" s="285">
        <f t="shared" si="28"/>
        <v>7018.6188311509068</v>
      </c>
      <c r="E132" s="285">
        <f t="shared" si="28"/>
        <v>7436.0352169331964</v>
      </c>
      <c r="F132" s="285">
        <f t="shared" si="28"/>
        <v>7879.962634700837</v>
      </c>
      <c r="G132" s="285">
        <f t="shared" si="28"/>
        <v>8363.2970619861317</v>
      </c>
      <c r="H132" s="285">
        <f t="shared" si="28"/>
        <v>8834.3246033280357</v>
      </c>
      <c r="I132" s="285">
        <f t="shared" si="28"/>
        <v>9354.5286976528132</v>
      </c>
      <c r="J132" s="285">
        <f t="shared" si="28"/>
        <v>9905.3624844816713</v>
      </c>
      <c r="K132" s="285">
        <f t="shared" si="28"/>
        <v>10488.629176979019</v>
      </c>
      <c r="L132" s="299"/>
    </row>
    <row r="133" spans="1:16">
      <c r="A133" s="6" t="s">
        <v>13</v>
      </c>
      <c r="B133" s="285">
        <f>B116</f>
        <v>13015.934321462773</v>
      </c>
      <c r="C133" s="285">
        <f t="shared" si="28"/>
        <v>13476.024721270978</v>
      </c>
      <c r="D133" s="285">
        <f t="shared" si="28"/>
        <v>13923.220163679234</v>
      </c>
      <c r="E133" s="285">
        <f t="shared" si="28"/>
        <v>14458.753862211928</v>
      </c>
      <c r="F133" s="285">
        <f t="shared" si="28"/>
        <v>15047.036138730071</v>
      </c>
      <c r="G133" s="285">
        <f t="shared" si="28"/>
        <v>15608.734786912868</v>
      </c>
      <c r="H133" s="285">
        <f t="shared" si="28"/>
        <v>16159.948137089295</v>
      </c>
      <c r="I133" s="285">
        <f t="shared" si="28"/>
        <v>16766.700865673727</v>
      </c>
      <c r="J133" s="285">
        <f t="shared" si="28"/>
        <v>17396.231249972214</v>
      </c>
      <c r="K133" s="285">
        <f t="shared" si="28"/>
        <v>18049.393987394586</v>
      </c>
      <c r="L133" s="299"/>
    </row>
    <row r="134" spans="1:16">
      <c r="A134" s="6" t="s">
        <v>71</v>
      </c>
      <c r="B134" s="285">
        <f>B117</f>
        <v>28791.565066927964</v>
      </c>
      <c r="C134" s="285">
        <f t="shared" si="28"/>
        <v>30298.917575967578</v>
      </c>
      <c r="D134" s="285">
        <f t="shared" si="28"/>
        <v>31880.154947029732</v>
      </c>
      <c r="E134" s="285">
        <f t="shared" si="28"/>
        <v>33584.788311616554</v>
      </c>
      <c r="F134" s="285">
        <f t="shared" si="28"/>
        <v>35388.140800757341</v>
      </c>
      <c r="G134" s="285">
        <f t="shared" si="28"/>
        <v>37275.55331184082</v>
      </c>
      <c r="H134" s="285">
        <f t="shared" si="28"/>
        <v>39225.794609276592</v>
      </c>
      <c r="I134" s="285">
        <f t="shared" si="28"/>
        <v>41300.179658613044</v>
      </c>
      <c r="J134" s="285">
        <f t="shared" si="28"/>
        <v>43484.255035020928</v>
      </c>
      <c r="K134" s="285">
        <f t="shared" si="28"/>
        <v>45783.819883571348</v>
      </c>
      <c r="L134" s="299"/>
    </row>
    <row r="135" spans="1:16">
      <c r="A135" s="6" t="s">
        <v>166</v>
      </c>
      <c r="B135" s="285">
        <f>SUM(B123:B132)*(UF_Assumptions_1!B$18/(1-UF_Assumptions_1!B$18))</f>
        <v>13570.847209451998</v>
      </c>
      <c r="C135" s="285">
        <f>SUM(C123:C132)*(UF_Assumptions_1!C$18/(1-UF_Assumptions_1!C$18))</f>
        <v>14343.50991148253</v>
      </c>
      <c r="D135" s="285">
        <f>SUM(D123:D132)*(UF_Assumptions_1!D$18/(1-UF_Assumptions_1!D$18))</f>
        <v>15147.394192397893</v>
      </c>
      <c r="E135" s="285">
        <f>SUM(E123:E132)*(UF_Assumptions_1!E$18/(1-UF_Assumptions_1!E$18))</f>
        <v>16028.052689115175</v>
      </c>
      <c r="F135" s="285">
        <f>SUM(F123:F132)*(UF_Assumptions_1!F$18/(1-UF_Assumptions_1!F$18))</f>
        <v>16971.289239402711</v>
      </c>
      <c r="G135" s="285">
        <f>SUM(G123:G132)*(UF_Assumptions_1!G$18/(1-UF_Assumptions_1!G$18))</f>
        <v>17947.128846043932</v>
      </c>
      <c r="H135" s="285">
        <f>SUM(H123:H132)*(UF_Assumptions_1!H$18/(1-UF_Assumptions_1!H$18))</f>
        <v>18977.120169483336</v>
      </c>
      <c r="I135" s="285">
        <f>SUM(I123:I132)*(UF_Assumptions_1!I$18/(1-UF_Assumptions_1!I$18))</f>
        <v>20072.774295569485</v>
      </c>
      <c r="J135" s="285">
        <f>SUM(J123:J132)*(UF_Assumptions_1!J$18/(1-UF_Assumptions_1!J$18))</f>
        <v>21232.245904553041</v>
      </c>
      <c r="K135" s="285">
        <f>SUM(K123:K132)*(UF_Assumptions_1!K$18/(1-UF_Assumptions_1!K$18))</f>
        <v>22459.282885752309</v>
      </c>
      <c r="L135" s="299"/>
      <c r="N135" s="269">
        <f>K135/(SUM(K123:K132)+K135)</f>
        <v>3.0000000000000002E-2</v>
      </c>
    </row>
    <row r="136" spans="1:16">
      <c r="A136" s="212" t="s">
        <v>218</v>
      </c>
      <c r="B136" s="285">
        <f t="shared" ref="B136:K137" si="29">B102</f>
        <v>0</v>
      </c>
      <c r="C136" s="285">
        <f t="shared" si="29"/>
        <v>0</v>
      </c>
      <c r="D136" s="285">
        <f t="shared" si="29"/>
        <v>0</v>
      </c>
      <c r="E136" s="285">
        <f t="shared" si="29"/>
        <v>0</v>
      </c>
      <c r="F136" s="285">
        <f t="shared" si="29"/>
        <v>0</v>
      </c>
      <c r="G136" s="285">
        <f t="shared" si="29"/>
        <v>0</v>
      </c>
      <c r="H136" s="285">
        <f t="shared" si="29"/>
        <v>0</v>
      </c>
      <c r="I136" s="285">
        <f t="shared" si="29"/>
        <v>0</v>
      </c>
      <c r="J136" s="285">
        <f t="shared" si="29"/>
        <v>0</v>
      </c>
      <c r="K136" s="285">
        <f t="shared" si="29"/>
        <v>0</v>
      </c>
      <c r="L136" s="299"/>
    </row>
    <row r="137" spans="1:16">
      <c r="A137" s="280" t="s">
        <v>276</v>
      </c>
      <c r="B137" s="285">
        <f t="shared" si="29"/>
        <v>0</v>
      </c>
      <c r="C137" s="285">
        <f t="shared" si="29"/>
        <v>0</v>
      </c>
      <c r="D137" s="285">
        <f t="shared" si="29"/>
        <v>0</v>
      </c>
      <c r="E137" s="285">
        <f t="shared" si="29"/>
        <v>0</v>
      </c>
      <c r="F137" s="285">
        <f t="shared" si="29"/>
        <v>0</v>
      </c>
      <c r="G137" s="285">
        <f t="shared" si="29"/>
        <v>0</v>
      </c>
      <c r="H137" s="285">
        <f t="shared" si="29"/>
        <v>0</v>
      </c>
      <c r="I137" s="285">
        <f t="shared" si="29"/>
        <v>0</v>
      </c>
      <c r="J137" s="285">
        <f t="shared" si="29"/>
        <v>0</v>
      </c>
      <c r="K137" s="285">
        <f t="shared" si="29"/>
        <v>0</v>
      </c>
      <c r="L137" s="299"/>
    </row>
    <row r="138" spans="1:16">
      <c r="A138" s="6" t="s">
        <v>98</v>
      </c>
      <c r="B138" s="285">
        <f>SUM(B123:B137)</f>
        <v>494169.07303679071</v>
      </c>
      <c r="C138" s="285">
        <f t="shared" ref="C138:K138" si="30">SUM(C123:C137)</f>
        <v>521891.93934665615</v>
      </c>
      <c r="D138" s="285">
        <f t="shared" si="30"/>
        <v>550716.51485730545</v>
      </c>
      <c r="E138" s="285">
        <f t="shared" si="30"/>
        <v>582311.96514433424</v>
      </c>
      <c r="F138" s="285">
        <f t="shared" si="30"/>
        <v>616144.81825291121</v>
      </c>
      <c r="G138" s="285">
        <f t="shared" si="30"/>
        <v>651121.9163002182</v>
      </c>
      <c r="H138" s="285">
        <f t="shared" si="30"/>
        <v>687956.415062477</v>
      </c>
      <c r="I138" s="285">
        <f t="shared" si="30"/>
        <v>727159.35704326956</v>
      </c>
      <c r="J138" s="285">
        <f t="shared" si="30"/>
        <v>768622.01643676125</v>
      </c>
      <c r="K138" s="285">
        <f t="shared" si="30"/>
        <v>812475.97672937624</v>
      </c>
      <c r="L138" s="56">
        <f>(B138-B121)/$B$19</f>
        <v>-5.2805762972012157E-2</v>
      </c>
      <c r="M138" s="56">
        <f>(K138-K121)/$K$19</f>
        <v>-5.2642041295260393E-2</v>
      </c>
      <c r="P138" s="269"/>
    </row>
    <row r="139" spans="1:16">
      <c r="A139" s="210" t="s">
        <v>336</v>
      </c>
    </row>
    <row r="140" spans="1:16">
      <c r="A140" t="s">
        <v>4</v>
      </c>
      <c r="B140" s="88">
        <f>B123</f>
        <v>163701.34411711176</v>
      </c>
      <c r="C140" s="88">
        <f t="shared" ref="C140:K140" si="31">C123</f>
        <v>173418.05306657156</v>
      </c>
      <c r="D140" s="88">
        <f t="shared" si="31"/>
        <v>183509.07406747006</v>
      </c>
      <c r="E140" s="88">
        <f t="shared" si="31"/>
        <v>194606.44970660275</v>
      </c>
      <c r="F140" s="88">
        <f t="shared" si="31"/>
        <v>207003.29304411117</v>
      </c>
      <c r="G140" s="88">
        <f t="shared" si="31"/>
        <v>219286.14633793768</v>
      </c>
      <c r="H140" s="88">
        <f t="shared" si="31"/>
        <v>232294.57476981299</v>
      </c>
      <c r="I140" s="88">
        <f t="shared" si="31"/>
        <v>246360.34369976353</v>
      </c>
      <c r="J140" s="88">
        <f t="shared" si="31"/>
        <v>261277.75638573107</v>
      </c>
      <c r="K140" s="88">
        <f t="shared" si="31"/>
        <v>277098.37036155129</v>
      </c>
    </row>
    <row r="141" spans="1:16">
      <c r="A141" t="s">
        <v>5</v>
      </c>
      <c r="B141" s="88">
        <f t="shared" ref="B141:K152" si="32">B124</f>
        <v>123004.95380599919</v>
      </c>
      <c r="C141" s="88">
        <f t="shared" si="32"/>
        <v>129813.88952967607</v>
      </c>
      <c r="D141" s="88">
        <f t="shared" si="32"/>
        <v>136978.11715017905</v>
      </c>
      <c r="E141" s="88">
        <f t="shared" si="32"/>
        <v>144987.53974399122</v>
      </c>
      <c r="F141" s="88">
        <f t="shared" si="32"/>
        <v>153062.886902812</v>
      </c>
      <c r="G141" s="88">
        <f t="shared" si="32"/>
        <v>161685.77008914479</v>
      </c>
      <c r="H141" s="88">
        <f t="shared" si="32"/>
        <v>170792.04123921864</v>
      </c>
      <c r="I141" s="88">
        <f t="shared" si="32"/>
        <v>180336.55028492719</v>
      </c>
      <c r="J141" s="88">
        <f t="shared" si="32"/>
        <v>190414.40004224906</v>
      </c>
      <c r="K141" s="88">
        <f t="shared" si="32"/>
        <v>201055.38822164084</v>
      </c>
    </row>
    <row r="142" spans="1:16">
      <c r="A142" t="s">
        <v>6</v>
      </c>
      <c r="B142" s="88">
        <f t="shared" si="32"/>
        <v>14846.36606553379</v>
      </c>
      <c r="C142" s="88">
        <f t="shared" si="32"/>
        <v>15668.186237344358</v>
      </c>
      <c r="D142" s="88">
        <f t="shared" si="32"/>
        <v>16532.889182548894</v>
      </c>
      <c r="E142" s="88">
        <f t="shared" si="32"/>
        <v>17433.443803700426</v>
      </c>
      <c r="F142" s="88">
        <f t="shared" si="32"/>
        <v>18386.986497687139</v>
      </c>
      <c r="G142" s="88">
        <f t="shared" si="32"/>
        <v>19404.434817995611</v>
      </c>
      <c r="H142" s="88">
        <f t="shared" si="32"/>
        <v>20458.487358962069</v>
      </c>
      <c r="I142" s="88">
        <f t="shared" si="32"/>
        <v>21574.501873352096</v>
      </c>
      <c r="J142" s="88">
        <f t="shared" si="32"/>
        <v>22751.390089435594</v>
      </c>
      <c r="K142" s="88">
        <f t="shared" si="32"/>
        <v>23992.471809759092</v>
      </c>
    </row>
    <row r="143" spans="1:16">
      <c r="A143" t="s">
        <v>7</v>
      </c>
      <c r="B143" s="88">
        <f t="shared" si="32"/>
        <v>24941.422865988505</v>
      </c>
      <c r="C143" s="88">
        <f t="shared" si="32"/>
        <v>26047.606657348864</v>
      </c>
      <c r="D143" s="88">
        <f t="shared" si="32"/>
        <v>27198.558894676877</v>
      </c>
      <c r="E143" s="88">
        <f t="shared" si="32"/>
        <v>28407.970801060739</v>
      </c>
      <c r="F143" s="88">
        <f t="shared" si="32"/>
        <v>29677.510799943349</v>
      </c>
      <c r="G143" s="88">
        <f t="shared" si="32"/>
        <v>30963.479703361514</v>
      </c>
      <c r="H143" s="88">
        <f t="shared" si="32"/>
        <v>32304.71998697146</v>
      </c>
      <c r="I143" s="88">
        <f t="shared" si="32"/>
        <v>33711.523812694038</v>
      </c>
      <c r="J143" s="88">
        <f t="shared" si="32"/>
        <v>35179.583137929614</v>
      </c>
      <c r="K143" s="88">
        <f t="shared" si="32"/>
        <v>36711.56434700697</v>
      </c>
    </row>
    <row r="144" spans="1:16">
      <c r="A144" t="s">
        <v>8</v>
      </c>
      <c r="B144" s="88">
        <f t="shared" si="32"/>
        <v>27504.113438370092</v>
      </c>
      <c r="C144" s="88">
        <f t="shared" si="32"/>
        <v>29081.629591702836</v>
      </c>
      <c r="D144" s="88">
        <f t="shared" si="32"/>
        <v>30628.426063836818</v>
      </c>
      <c r="E144" s="88">
        <f t="shared" si="32"/>
        <v>32388.697819831017</v>
      </c>
      <c r="F144" s="88">
        <f t="shared" si="32"/>
        <v>34257.465977786131</v>
      </c>
      <c r="G144" s="88">
        <f t="shared" si="32"/>
        <v>36221.647800813713</v>
      </c>
      <c r="H144" s="88">
        <f t="shared" si="32"/>
        <v>38261.679809782887</v>
      </c>
      <c r="I144" s="88">
        <f t="shared" si="32"/>
        <v>40438.157594547054</v>
      </c>
      <c r="J144" s="88">
        <f t="shared" si="32"/>
        <v>42738.432564995448</v>
      </c>
      <c r="K144" s="88">
        <f t="shared" si="32"/>
        <v>45169.545121352719</v>
      </c>
    </row>
    <row r="145" spans="1:16">
      <c r="A145" t="s">
        <v>9</v>
      </c>
      <c r="B145" s="88">
        <f t="shared" si="32"/>
        <v>20867.90919503873</v>
      </c>
      <c r="C145" s="88">
        <f t="shared" si="32"/>
        <v>22377.925534842485</v>
      </c>
      <c r="D145" s="88">
        <f t="shared" si="32"/>
        <v>23948.657448412952</v>
      </c>
      <c r="E145" s="88">
        <f t="shared" si="32"/>
        <v>25660.461534733106</v>
      </c>
      <c r="F145" s="88">
        <f t="shared" si="32"/>
        <v>27474.829198112537</v>
      </c>
      <c r="G145" s="88">
        <f t="shared" si="32"/>
        <v>29462.375994912018</v>
      </c>
      <c r="H145" s="88">
        <f t="shared" si="32"/>
        <v>31593.261659339776</v>
      </c>
      <c r="I145" s="88">
        <f t="shared" si="32"/>
        <v>33853.87622480595</v>
      </c>
      <c r="J145" s="88">
        <f t="shared" si="32"/>
        <v>36276.237964840075</v>
      </c>
      <c r="K145" s="88">
        <f t="shared" si="32"/>
        <v>38871.918815141275</v>
      </c>
    </row>
    <row r="146" spans="1:16">
      <c r="A146" t="s">
        <v>10</v>
      </c>
      <c r="B146" s="88">
        <f t="shared" si="32"/>
        <v>17757.579038677741</v>
      </c>
      <c r="C146" s="88">
        <f t="shared" si="32"/>
        <v>18616.204444899169</v>
      </c>
      <c r="D146" s="88">
        <f t="shared" si="32"/>
        <v>19457.408653536819</v>
      </c>
      <c r="E146" s="88">
        <f t="shared" si="32"/>
        <v>20342.06844363112</v>
      </c>
      <c r="F146" s="88">
        <f t="shared" si="32"/>
        <v>21312.213248327851</v>
      </c>
      <c r="G146" s="88">
        <f t="shared" si="32"/>
        <v>22363.615781507619</v>
      </c>
      <c r="H146" s="88">
        <f t="shared" si="32"/>
        <v>23533.670768812877</v>
      </c>
      <c r="I146" s="88">
        <f t="shared" si="32"/>
        <v>24699.744587016823</v>
      </c>
      <c r="J146" s="88">
        <f t="shared" si="32"/>
        <v>25923.590571008142</v>
      </c>
      <c r="K146" s="88">
        <f t="shared" si="32"/>
        <v>27208.070352332947</v>
      </c>
    </row>
    <row r="147" spans="1:16">
      <c r="A147" t="s">
        <v>18</v>
      </c>
      <c r="B147" s="88">
        <f t="shared" si="32"/>
        <v>30129.715383992829</v>
      </c>
      <c r="C147" s="88">
        <f t="shared" si="32"/>
        <v>31887.964482189302</v>
      </c>
      <c r="D147" s="88">
        <f t="shared" si="32"/>
        <v>33775.386523872621</v>
      </c>
      <c r="E147" s="88">
        <f t="shared" si="32"/>
        <v>35750.310326062507</v>
      </c>
      <c r="F147" s="88">
        <f t="shared" si="32"/>
        <v>37920.359099771907</v>
      </c>
      <c r="G147" s="88">
        <f t="shared" si="32"/>
        <v>40208.353335239961</v>
      </c>
      <c r="H147" s="88">
        <f t="shared" si="32"/>
        <v>42593.581474180231</v>
      </c>
      <c r="I147" s="88">
        <f t="shared" si="32"/>
        <v>45144.282224803901</v>
      </c>
      <c r="J147" s="88">
        <f t="shared" si="32"/>
        <v>47847.719992797312</v>
      </c>
      <c r="K147" s="88">
        <f t="shared" si="32"/>
        <v>50713.039430147663</v>
      </c>
    </row>
    <row r="148" spans="1:16">
      <c r="A148" t="s">
        <v>16</v>
      </c>
      <c r="B148" s="88">
        <f t="shared" si="32"/>
        <v>9782.1964709051808</v>
      </c>
      <c r="C148" s="88">
        <f t="shared" si="32"/>
        <v>10235.620288041428</v>
      </c>
      <c r="D148" s="88">
        <f t="shared" si="32"/>
        <v>10718.608738513452</v>
      </c>
      <c r="E148" s="88">
        <f t="shared" si="32"/>
        <v>11227.392884844547</v>
      </c>
      <c r="F148" s="88">
        <f t="shared" si="32"/>
        <v>11762.844670768076</v>
      </c>
      <c r="G148" s="88">
        <f t="shared" si="32"/>
        <v>12331.378432521382</v>
      </c>
      <c r="H148" s="88">
        <f t="shared" si="32"/>
        <v>12927.210476218879</v>
      </c>
      <c r="I148" s="88">
        <f t="shared" si="32"/>
        <v>13546.193223849727</v>
      </c>
      <c r="J148" s="88">
        <f t="shared" si="32"/>
        <v>14194.81101374695</v>
      </c>
      <c r="K148" s="88">
        <f t="shared" si="32"/>
        <v>14874.482336746029</v>
      </c>
    </row>
    <row r="149" spans="1:16">
      <c r="A149" t="s">
        <v>11</v>
      </c>
      <c r="B149" s="88">
        <f t="shared" si="32"/>
        <v>6255.1260573301888</v>
      </c>
      <c r="C149" s="88">
        <f t="shared" si="32"/>
        <v>6626.4073053190768</v>
      </c>
      <c r="D149" s="88">
        <f t="shared" si="32"/>
        <v>7018.6188311509068</v>
      </c>
      <c r="E149" s="88">
        <f t="shared" si="32"/>
        <v>7436.0352169331964</v>
      </c>
      <c r="F149" s="88">
        <f t="shared" si="32"/>
        <v>7879.962634700837</v>
      </c>
      <c r="G149" s="88">
        <f t="shared" si="32"/>
        <v>8363.2970619861317</v>
      </c>
      <c r="H149" s="88">
        <f t="shared" si="32"/>
        <v>8834.3246033280357</v>
      </c>
      <c r="I149" s="88">
        <f t="shared" si="32"/>
        <v>9354.5286976528132</v>
      </c>
      <c r="J149" s="88">
        <f t="shared" si="32"/>
        <v>9905.3624844816713</v>
      </c>
      <c r="K149" s="88">
        <f t="shared" si="32"/>
        <v>10488.629176979019</v>
      </c>
    </row>
    <row r="150" spans="1:16">
      <c r="A150" t="s">
        <v>13</v>
      </c>
      <c r="B150" s="88">
        <f t="shared" si="32"/>
        <v>13015.934321462773</v>
      </c>
      <c r="C150" s="88">
        <f t="shared" si="32"/>
        <v>13476.024721270978</v>
      </c>
      <c r="D150" s="88">
        <f t="shared" si="32"/>
        <v>13923.220163679234</v>
      </c>
      <c r="E150" s="88">
        <f t="shared" si="32"/>
        <v>14458.753862211928</v>
      </c>
      <c r="F150" s="88">
        <f t="shared" si="32"/>
        <v>15047.036138730071</v>
      </c>
      <c r="G150" s="88">
        <f t="shared" si="32"/>
        <v>15608.734786912868</v>
      </c>
      <c r="H150" s="88">
        <f t="shared" si="32"/>
        <v>16159.948137089295</v>
      </c>
      <c r="I150" s="88">
        <f t="shared" si="32"/>
        <v>16766.700865673727</v>
      </c>
      <c r="J150" s="88">
        <f t="shared" si="32"/>
        <v>17396.231249972214</v>
      </c>
      <c r="K150" s="88">
        <f t="shared" si="32"/>
        <v>18049.393987394586</v>
      </c>
    </row>
    <row r="151" spans="1:16">
      <c r="A151" s="6" t="s">
        <v>71</v>
      </c>
      <c r="B151" s="88">
        <f t="shared" si="32"/>
        <v>28791.565066927964</v>
      </c>
      <c r="C151" s="88">
        <f t="shared" si="32"/>
        <v>30298.917575967578</v>
      </c>
      <c r="D151" s="88">
        <f t="shared" si="32"/>
        <v>31880.154947029732</v>
      </c>
      <c r="E151" s="88">
        <f t="shared" si="32"/>
        <v>33584.788311616554</v>
      </c>
      <c r="F151" s="88">
        <f t="shared" si="32"/>
        <v>35388.140800757341</v>
      </c>
      <c r="G151" s="88">
        <f t="shared" si="32"/>
        <v>37275.55331184082</v>
      </c>
      <c r="H151" s="88">
        <f t="shared" si="32"/>
        <v>39225.794609276592</v>
      </c>
      <c r="I151" s="88">
        <f t="shared" si="32"/>
        <v>41300.179658613044</v>
      </c>
      <c r="J151" s="88">
        <f t="shared" si="32"/>
        <v>43484.255035020928</v>
      </c>
      <c r="K151" s="88">
        <f t="shared" si="32"/>
        <v>45783.819883571348</v>
      </c>
    </row>
    <row r="152" spans="1:16">
      <c r="A152" s="6" t="s">
        <v>166</v>
      </c>
      <c r="B152" s="88">
        <f t="shared" si="32"/>
        <v>13570.847209451998</v>
      </c>
      <c r="C152" s="88">
        <f t="shared" si="32"/>
        <v>14343.50991148253</v>
      </c>
      <c r="D152" s="88">
        <f t="shared" si="32"/>
        <v>15147.394192397893</v>
      </c>
      <c r="E152" s="88">
        <f t="shared" si="32"/>
        <v>16028.052689115175</v>
      </c>
      <c r="F152" s="88">
        <f t="shared" si="32"/>
        <v>16971.289239402711</v>
      </c>
      <c r="G152" s="88">
        <f t="shared" si="32"/>
        <v>17947.128846043932</v>
      </c>
      <c r="H152" s="88">
        <f t="shared" si="32"/>
        <v>18977.120169483336</v>
      </c>
      <c r="I152" s="88">
        <f t="shared" si="32"/>
        <v>20072.774295569485</v>
      </c>
      <c r="J152" s="88">
        <f t="shared" si="32"/>
        <v>21232.245904553041</v>
      </c>
      <c r="K152" s="88">
        <f t="shared" si="32"/>
        <v>22459.282885752309</v>
      </c>
      <c r="N152" s="269">
        <f>K152/(SUM(K140:K149)+K152)</f>
        <v>3.0000000000000002E-2</v>
      </c>
    </row>
    <row r="153" spans="1:16">
      <c r="A153" s="212" t="s">
        <v>218</v>
      </c>
      <c r="B153" s="88">
        <f>UF_Calculations_1!B16</f>
        <v>2085.3611888863684</v>
      </c>
      <c r="C153" s="88">
        <f>UF_Calculations_1!C16</f>
        <v>2085.3611888863684</v>
      </c>
      <c r="D153" s="88">
        <f>UF_Calculations_1!D16</f>
        <v>2085.3611888863684</v>
      </c>
      <c r="E153" s="88">
        <f>UF_Calculations_1!E16</f>
        <v>2085.3611888863684</v>
      </c>
      <c r="F153" s="88">
        <f>UF_Calculations_1!F16</f>
        <v>2085.3611888863684</v>
      </c>
      <c r="G153" s="88">
        <f>UF_Calculations_1!G16</f>
        <v>2085.3611888863684</v>
      </c>
      <c r="H153" s="88">
        <f>UF_Calculations_1!H16</f>
        <v>2085.3611888863684</v>
      </c>
      <c r="I153" s="88">
        <f>UF_Calculations_1!I16</f>
        <v>2085.3611888863684</v>
      </c>
      <c r="J153" s="88">
        <f>UF_Calculations_1!J16</f>
        <v>2085.3611888863684</v>
      </c>
      <c r="K153" s="88">
        <f>UF_Calculations_1!K16</f>
        <v>2085.3611888863684</v>
      </c>
    </row>
    <row r="154" spans="1:16">
      <c r="A154" s="211" t="s">
        <v>276</v>
      </c>
      <c r="B154" s="88">
        <f t="shared" ref="B154:K154" si="33">B120</f>
        <v>0</v>
      </c>
      <c r="C154" s="88">
        <f t="shared" si="33"/>
        <v>0</v>
      </c>
      <c r="D154" s="88">
        <f t="shared" si="33"/>
        <v>0</v>
      </c>
      <c r="E154" s="88">
        <f t="shared" si="33"/>
        <v>0</v>
      </c>
      <c r="F154" s="88">
        <f t="shared" si="33"/>
        <v>0</v>
      </c>
      <c r="G154" s="88">
        <f t="shared" si="33"/>
        <v>0</v>
      </c>
      <c r="H154" s="88">
        <f t="shared" si="33"/>
        <v>0</v>
      </c>
      <c r="I154" s="88">
        <f t="shared" si="33"/>
        <v>0</v>
      </c>
      <c r="J154" s="88">
        <f t="shared" si="33"/>
        <v>0</v>
      </c>
      <c r="K154" s="88">
        <f t="shared" si="33"/>
        <v>0</v>
      </c>
    </row>
    <row r="155" spans="1:16">
      <c r="A155" s="6" t="s">
        <v>98</v>
      </c>
      <c r="B155" s="88">
        <f>SUM(B140:B154)</f>
        <v>496254.43422567711</v>
      </c>
      <c r="C155" s="88">
        <f t="shared" ref="C155:K155" si="34">SUM(C140:C154)</f>
        <v>523977.30053554254</v>
      </c>
      <c r="D155" s="88">
        <f t="shared" si="34"/>
        <v>552801.87604619178</v>
      </c>
      <c r="E155" s="88">
        <f t="shared" si="34"/>
        <v>584397.32633322058</v>
      </c>
      <c r="F155" s="88">
        <f t="shared" si="34"/>
        <v>618230.17944179755</v>
      </c>
      <c r="G155" s="88">
        <f t="shared" si="34"/>
        <v>653207.27748910454</v>
      </c>
      <c r="H155" s="88">
        <f t="shared" si="34"/>
        <v>690041.77625136334</v>
      </c>
      <c r="I155" s="88">
        <f t="shared" si="34"/>
        <v>729244.71823215589</v>
      </c>
      <c r="J155" s="88">
        <f t="shared" si="34"/>
        <v>770707.37762564758</v>
      </c>
      <c r="K155" s="88">
        <f t="shared" si="34"/>
        <v>814561.33791826258</v>
      </c>
      <c r="L155" s="56">
        <f>(B155-B138)/$B$19</f>
        <v>4.0335317287278965E-3</v>
      </c>
      <c r="M155" s="56">
        <f>(K155-K138)/$K$19</f>
        <v>2.4521554091140019E-3</v>
      </c>
      <c r="P155" s="269"/>
    </row>
    <row r="156" spans="1:16">
      <c r="A156" s="210" t="s">
        <v>276</v>
      </c>
    </row>
    <row r="157" spans="1:16">
      <c r="A157" t="s">
        <v>4</v>
      </c>
      <c r="B157" s="88">
        <f>B140</f>
        <v>163701.34411711176</v>
      </c>
      <c r="C157" s="88">
        <f t="shared" ref="C157:K157" si="35">C140</f>
        <v>173418.05306657156</v>
      </c>
      <c r="D157" s="88">
        <f t="shared" si="35"/>
        <v>183509.07406747006</v>
      </c>
      <c r="E157" s="88">
        <f t="shared" si="35"/>
        <v>194606.44970660275</v>
      </c>
      <c r="F157" s="88">
        <f t="shared" si="35"/>
        <v>207003.29304411117</v>
      </c>
      <c r="G157" s="88">
        <f t="shared" si="35"/>
        <v>219286.14633793768</v>
      </c>
      <c r="H157" s="88">
        <f t="shared" si="35"/>
        <v>232294.57476981299</v>
      </c>
      <c r="I157" s="88">
        <f t="shared" si="35"/>
        <v>246360.34369976353</v>
      </c>
      <c r="J157" s="88">
        <f t="shared" si="35"/>
        <v>261277.75638573107</v>
      </c>
      <c r="K157" s="88">
        <f t="shared" si="35"/>
        <v>277098.37036155129</v>
      </c>
    </row>
    <row r="158" spans="1:16">
      <c r="A158" t="s">
        <v>5</v>
      </c>
      <c r="B158" s="88">
        <f t="shared" ref="B158:K170" si="36">B141</f>
        <v>123004.95380599919</v>
      </c>
      <c r="C158" s="88">
        <f t="shared" si="36"/>
        <v>129813.88952967607</v>
      </c>
      <c r="D158" s="88">
        <f t="shared" si="36"/>
        <v>136978.11715017905</v>
      </c>
      <c r="E158" s="88">
        <f t="shared" si="36"/>
        <v>144987.53974399122</v>
      </c>
      <c r="F158" s="88">
        <f t="shared" si="36"/>
        <v>153062.886902812</v>
      </c>
      <c r="G158" s="88">
        <f t="shared" si="36"/>
        <v>161685.77008914479</v>
      </c>
      <c r="H158" s="88">
        <f t="shared" si="36"/>
        <v>170792.04123921864</v>
      </c>
      <c r="I158" s="88">
        <f t="shared" si="36"/>
        <v>180336.55028492719</v>
      </c>
      <c r="J158" s="88">
        <f t="shared" si="36"/>
        <v>190414.40004224906</v>
      </c>
      <c r="K158" s="88">
        <f t="shared" si="36"/>
        <v>201055.38822164084</v>
      </c>
    </row>
    <row r="159" spans="1:16">
      <c r="A159" t="s">
        <v>6</v>
      </c>
      <c r="B159" s="88">
        <f t="shared" si="36"/>
        <v>14846.36606553379</v>
      </c>
      <c r="C159" s="88">
        <f t="shared" si="36"/>
        <v>15668.186237344358</v>
      </c>
      <c r="D159" s="88">
        <f t="shared" si="36"/>
        <v>16532.889182548894</v>
      </c>
      <c r="E159" s="88">
        <f t="shared" si="36"/>
        <v>17433.443803700426</v>
      </c>
      <c r="F159" s="88">
        <f t="shared" si="36"/>
        <v>18386.986497687139</v>
      </c>
      <c r="G159" s="88">
        <f t="shared" si="36"/>
        <v>19404.434817995611</v>
      </c>
      <c r="H159" s="88">
        <f t="shared" si="36"/>
        <v>20458.487358962069</v>
      </c>
      <c r="I159" s="88">
        <f t="shared" si="36"/>
        <v>21574.501873352096</v>
      </c>
      <c r="J159" s="88">
        <f t="shared" si="36"/>
        <v>22751.390089435594</v>
      </c>
      <c r="K159" s="88">
        <f t="shared" si="36"/>
        <v>23992.471809759092</v>
      </c>
    </row>
    <row r="160" spans="1:16">
      <c r="A160" t="s">
        <v>7</v>
      </c>
      <c r="B160" s="88">
        <f t="shared" si="36"/>
        <v>24941.422865988505</v>
      </c>
      <c r="C160" s="88">
        <f t="shared" si="36"/>
        <v>26047.606657348864</v>
      </c>
      <c r="D160" s="88">
        <f t="shared" si="36"/>
        <v>27198.558894676877</v>
      </c>
      <c r="E160" s="88">
        <f t="shared" si="36"/>
        <v>28407.970801060739</v>
      </c>
      <c r="F160" s="88">
        <f t="shared" si="36"/>
        <v>29677.510799943349</v>
      </c>
      <c r="G160" s="88">
        <f t="shared" si="36"/>
        <v>30963.479703361514</v>
      </c>
      <c r="H160" s="88">
        <f t="shared" si="36"/>
        <v>32304.71998697146</v>
      </c>
      <c r="I160" s="88">
        <f t="shared" si="36"/>
        <v>33711.523812694038</v>
      </c>
      <c r="J160" s="88">
        <f t="shared" si="36"/>
        <v>35179.583137929614</v>
      </c>
      <c r="K160" s="88">
        <f t="shared" si="36"/>
        <v>36711.56434700697</v>
      </c>
    </row>
    <row r="161" spans="1:16">
      <c r="A161" t="s">
        <v>8</v>
      </c>
      <c r="B161" s="88">
        <f t="shared" si="36"/>
        <v>27504.113438370092</v>
      </c>
      <c r="C161" s="88">
        <f t="shared" si="36"/>
        <v>29081.629591702836</v>
      </c>
      <c r="D161" s="88">
        <f t="shared" si="36"/>
        <v>30628.426063836818</v>
      </c>
      <c r="E161" s="88">
        <f t="shared" si="36"/>
        <v>32388.697819831017</v>
      </c>
      <c r="F161" s="88">
        <f t="shared" si="36"/>
        <v>34257.465977786131</v>
      </c>
      <c r="G161" s="88">
        <f t="shared" si="36"/>
        <v>36221.647800813713</v>
      </c>
      <c r="H161" s="88">
        <f t="shared" si="36"/>
        <v>38261.679809782887</v>
      </c>
      <c r="I161" s="88">
        <f t="shared" si="36"/>
        <v>40438.157594547054</v>
      </c>
      <c r="J161" s="88">
        <f t="shared" si="36"/>
        <v>42738.432564995448</v>
      </c>
      <c r="K161" s="88">
        <f t="shared" si="36"/>
        <v>45169.545121352719</v>
      </c>
    </row>
    <row r="162" spans="1:16">
      <c r="A162" t="s">
        <v>9</v>
      </c>
      <c r="B162" s="88">
        <f t="shared" si="36"/>
        <v>20867.90919503873</v>
      </c>
      <c r="C162" s="88">
        <f t="shared" si="36"/>
        <v>22377.925534842485</v>
      </c>
      <c r="D162" s="88">
        <f t="shared" si="36"/>
        <v>23948.657448412952</v>
      </c>
      <c r="E162" s="88">
        <f t="shared" si="36"/>
        <v>25660.461534733106</v>
      </c>
      <c r="F162" s="88">
        <f t="shared" si="36"/>
        <v>27474.829198112537</v>
      </c>
      <c r="G162" s="88">
        <f t="shared" si="36"/>
        <v>29462.375994912018</v>
      </c>
      <c r="H162" s="88">
        <f t="shared" si="36"/>
        <v>31593.261659339776</v>
      </c>
      <c r="I162" s="88">
        <f t="shared" si="36"/>
        <v>33853.87622480595</v>
      </c>
      <c r="J162" s="88">
        <f t="shared" si="36"/>
        <v>36276.237964840075</v>
      </c>
      <c r="K162" s="88">
        <f t="shared" si="36"/>
        <v>38871.918815141275</v>
      </c>
    </row>
    <row r="163" spans="1:16">
      <c r="A163" t="s">
        <v>10</v>
      </c>
      <c r="B163" s="88">
        <f t="shared" si="36"/>
        <v>17757.579038677741</v>
      </c>
      <c r="C163" s="88">
        <f t="shared" si="36"/>
        <v>18616.204444899169</v>
      </c>
      <c r="D163" s="88">
        <f t="shared" si="36"/>
        <v>19457.408653536819</v>
      </c>
      <c r="E163" s="88">
        <f t="shared" si="36"/>
        <v>20342.06844363112</v>
      </c>
      <c r="F163" s="88">
        <f t="shared" si="36"/>
        <v>21312.213248327851</v>
      </c>
      <c r="G163" s="88">
        <f t="shared" si="36"/>
        <v>22363.615781507619</v>
      </c>
      <c r="H163" s="88">
        <f t="shared" si="36"/>
        <v>23533.670768812877</v>
      </c>
      <c r="I163" s="88">
        <f t="shared" si="36"/>
        <v>24699.744587016823</v>
      </c>
      <c r="J163" s="88">
        <f t="shared" si="36"/>
        <v>25923.590571008142</v>
      </c>
      <c r="K163" s="88">
        <f t="shared" si="36"/>
        <v>27208.070352332947</v>
      </c>
    </row>
    <row r="164" spans="1:16">
      <c r="A164" t="s">
        <v>18</v>
      </c>
      <c r="B164" s="88">
        <f t="shared" si="36"/>
        <v>30129.715383992829</v>
      </c>
      <c r="C164" s="88">
        <f t="shared" si="36"/>
        <v>31887.964482189302</v>
      </c>
      <c r="D164" s="88">
        <f t="shared" si="36"/>
        <v>33775.386523872621</v>
      </c>
      <c r="E164" s="88">
        <f t="shared" si="36"/>
        <v>35750.310326062507</v>
      </c>
      <c r="F164" s="88">
        <f t="shared" si="36"/>
        <v>37920.359099771907</v>
      </c>
      <c r="G164" s="88">
        <f t="shared" si="36"/>
        <v>40208.353335239961</v>
      </c>
      <c r="H164" s="88">
        <f t="shared" si="36"/>
        <v>42593.581474180231</v>
      </c>
      <c r="I164" s="88">
        <f t="shared" si="36"/>
        <v>45144.282224803901</v>
      </c>
      <c r="J164" s="88">
        <f t="shared" si="36"/>
        <v>47847.719992797312</v>
      </c>
      <c r="K164" s="88">
        <f t="shared" si="36"/>
        <v>50713.039430147663</v>
      </c>
    </row>
    <row r="165" spans="1:16">
      <c r="A165" t="s">
        <v>16</v>
      </c>
      <c r="B165" s="88">
        <f t="shared" si="36"/>
        <v>9782.1964709051808</v>
      </c>
      <c r="C165" s="88">
        <f t="shared" si="36"/>
        <v>10235.620288041428</v>
      </c>
      <c r="D165" s="88">
        <f t="shared" si="36"/>
        <v>10718.608738513452</v>
      </c>
      <c r="E165" s="88">
        <f t="shared" si="36"/>
        <v>11227.392884844547</v>
      </c>
      <c r="F165" s="88">
        <f t="shared" si="36"/>
        <v>11762.844670768076</v>
      </c>
      <c r="G165" s="88">
        <f t="shared" si="36"/>
        <v>12331.378432521382</v>
      </c>
      <c r="H165" s="88">
        <f t="shared" si="36"/>
        <v>12927.210476218879</v>
      </c>
      <c r="I165" s="88">
        <f t="shared" si="36"/>
        <v>13546.193223849727</v>
      </c>
      <c r="J165" s="88">
        <f t="shared" si="36"/>
        <v>14194.81101374695</v>
      </c>
      <c r="K165" s="88">
        <f t="shared" si="36"/>
        <v>14874.482336746029</v>
      </c>
    </row>
    <row r="166" spans="1:16">
      <c r="A166" t="s">
        <v>11</v>
      </c>
      <c r="B166" s="88">
        <f t="shared" si="36"/>
        <v>6255.1260573301888</v>
      </c>
      <c r="C166" s="88">
        <f t="shared" si="36"/>
        <v>6626.4073053190768</v>
      </c>
      <c r="D166" s="88">
        <f t="shared" si="36"/>
        <v>7018.6188311509068</v>
      </c>
      <c r="E166" s="88">
        <f t="shared" si="36"/>
        <v>7436.0352169331964</v>
      </c>
      <c r="F166" s="88">
        <f t="shared" si="36"/>
        <v>7879.962634700837</v>
      </c>
      <c r="G166" s="88">
        <f t="shared" si="36"/>
        <v>8363.2970619861317</v>
      </c>
      <c r="H166" s="88">
        <f t="shared" si="36"/>
        <v>8834.3246033280357</v>
      </c>
      <c r="I166" s="88">
        <f t="shared" si="36"/>
        <v>9354.5286976528132</v>
      </c>
      <c r="J166" s="88">
        <f t="shared" si="36"/>
        <v>9905.3624844816713</v>
      </c>
      <c r="K166" s="88">
        <f t="shared" si="36"/>
        <v>10488.629176979019</v>
      </c>
    </row>
    <row r="167" spans="1:16">
      <c r="A167" t="s">
        <v>13</v>
      </c>
      <c r="B167" s="88">
        <f t="shared" si="36"/>
        <v>13015.934321462773</v>
      </c>
      <c r="C167" s="88">
        <f t="shared" si="36"/>
        <v>13476.024721270978</v>
      </c>
      <c r="D167" s="88">
        <f t="shared" si="36"/>
        <v>13923.220163679234</v>
      </c>
      <c r="E167" s="88">
        <f t="shared" si="36"/>
        <v>14458.753862211928</v>
      </c>
      <c r="F167" s="88">
        <f t="shared" si="36"/>
        <v>15047.036138730071</v>
      </c>
      <c r="G167" s="88">
        <f t="shared" si="36"/>
        <v>15608.734786912868</v>
      </c>
      <c r="H167" s="88">
        <f t="shared" si="36"/>
        <v>16159.948137089295</v>
      </c>
      <c r="I167" s="88">
        <f t="shared" si="36"/>
        <v>16766.700865673727</v>
      </c>
      <c r="J167" s="88">
        <f t="shared" si="36"/>
        <v>17396.231249972214</v>
      </c>
      <c r="K167" s="88">
        <f t="shared" si="36"/>
        <v>18049.393987394586</v>
      </c>
    </row>
    <row r="168" spans="1:16">
      <c r="A168" s="6" t="s">
        <v>71</v>
      </c>
      <c r="B168" s="88">
        <f t="shared" si="36"/>
        <v>28791.565066927964</v>
      </c>
      <c r="C168" s="88">
        <f t="shared" si="36"/>
        <v>30298.917575967578</v>
      </c>
      <c r="D168" s="88">
        <f t="shared" si="36"/>
        <v>31880.154947029732</v>
      </c>
      <c r="E168" s="88">
        <f t="shared" si="36"/>
        <v>33584.788311616554</v>
      </c>
      <c r="F168" s="88">
        <f t="shared" si="36"/>
        <v>35388.140800757341</v>
      </c>
      <c r="G168" s="88">
        <f t="shared" si="36"/>
        <v>37275.55331184082</v>
      </c>
      <c r="H168" s="88">
        <f t="shared" si="36"/>
        <v>39225.794609276592</v>
      </c>
      <c r="I168" s="88">
        <f t="shared" si="36"/>
        <v>41300.179658613044</v>
      </c>
      <c r="J168" s="88">
        <f t="shared" si="36"/>
        <v>43484.255035020928</v>
      </c>
      <c r="K168" s="88">
        <f t="shared" si="36"/>
        <v>45783.819883571348</v>
      </c>
    </row>
    <row r="169" spans="1:16">
      <c r="A169" s="6" t="s">
        <v>166</v>
      </c>
      <c r="B169" s="88">
        <f t="shared" si="36"/>
        <v>13570.847209451998</v>
      </c>
      <c r="C169" s="88">
        <f t="shared" si="36"/>
        <v>14343.50991148253</v>
      </c>
      <c r="D169" s="88">
        <f t="shared" si="36"/>
        <v>15147.394192397893</v>
      </c>
      <c r="E169" s="88">
        <f t="shared" si="36"/>
        <v>16028.052689115175</v>
      </c>
      <c r="F169" s="88">
        <f t="shared" si="36"/>
        <v>16971.289239402711</v>
      </c>
      <c r="G169" s="88">
        <f t="shared" si="36"/>
        <v>17947.128846043932</v>
      </c>
      <c r="H169" s="88">
        <f t="shared" si="36"/>
        <v>18977.120169483336</v>
      </c>
      <c r="I169" s="88">
        <f t="shared" si="36"/>
        <v>20072.774295569485</v>
      </c>
      <c r="J169" s="88">
        <f t="shared" si="36"/>
        <v>21232.245904553041</v>
      </c>
      <c r="K169" s="88">
        <f t="shared" si="36"/>
        <v>22459.282885752309</v>
      </c>
      <c r="N169" s="269">
        <f>K169/(SUM(K157:K166)+K169)</f>
        <v>3.0000000000000002E-2</v>
      </c>
    </row>
    <row r="170" spans="1:16">
      <c r="A170" s="212" t="s">
        <v>218</v>
      </c>
      <c r="B170" s="88">
        <f>B153</f>
        <v>2085.3611888863684</v>
      </c>
      <c r="C170" s="88">
        <f t="shared" si="36"/>
        <v>2085.3611888863684</v>
      </c>
      <c r="D170" s="88">
        <f t="shared" si="36"/>
        <v>2085.3611888863684</v>
      </c>
      <c r="E170" s="88">
        <f t="shared" si="36"/>
        <v>2085.3611888863684</v>
      </c>
      <c r="F170" s="88">
        <f t="shared" si="36"/>
        <v>2085.3611888863684</v>
      </c>
      <c r="G170" s="88">
        <f t="shared" si="36"/>
        <v>2085.3611888863684</v>
      </c>
      <c r="H170" s="88">
        <f t="shared" si="36"/>
        <v>2085.3611888863684</v>
      </c>
      <c r="I170" s="88">
        <f t="shared" si="36"/>
        <v>2085.3611888863684</v>
      </c>
      <c r="J170" s="88">
        <f t="shared" si="36"/>
        <v>2085.3611888863684</v>
      </c>
      <c r="K170" s="88">
        <f t="shared" si="36"/>
        <v>2085.3611888863684</v>
      </c>
    </row>
    <row r="171" spans="1:16">
      <c r="A171" s="211" t="s">
        <v>276</v>
      </c>
      <c r="B171" s="88">
        <f>UF_Calculations_1!B119</f>
        <v>5330.1132770442609</v>
      </c>
      <c r="C171" s="88">
        <f>UF_Calculations_1!C119</f>
        <v>5582.6721098604348</v>
      </c>
      <c r="D171" s="88">
        <f>UF_Calculations_1!D119</f>
        <v>5839.4732775505645</v>
      </c>
      <c r="E171" s="88">
        <f>UF_Calculations_1!E119</f>
        <v>6116.1778401278252</v>
      </c>
      <c r="F171" s="88">
        <f>UF_Calculations_1!F119</f>
        <v>6400.4743926080209</v>
      </c>
      <c r="G171" s="88">
        <f>UF_Calculations_1!G119</f>
        <v>6695.0465692015878</v>
      </c>
      <c r="H171" s="88">
        <f>UF_Calculations_1!H119</f>
        <v>6999.697710060711</v>
      </c>
      <c r="I171" s="88">
        <f>UF_Calculations_1!I119</f>
        <v>7314.3896229619468</v>
      </c>
      <c r="J171" s="88">
        <f>UF_Calculations_1!J119</f>
        <v>7639.4087674018856</v>
      </c>
      <c r="K171" s="88">
        <f>UF_Calculations_1!K119</f>
        <v>7974.8433013006306</v>
      </c>
    </row>
    <row r="172" spans="1:16">
      <c r="A172" s="6" t="s">
        <v>98</v>
      </c>
      <c r="B172" s="88">
        <f>SUM(B157:B171)</f>
        <v>501584.54750272137</v>
      </c>
      <c r="C172" s="88">
        <f t="shared" ref="C172:K172" si="37">SUM(C157:C171)</f>
        <v>529559.972645403</v>
      </c>
      <c r="D172" s="88">
        <f t="shared" si="37"/>
        <v>558641.34932374232</v>
      </c>
      <c r="E172" s="88">
        <f t="shared" si="37"/>
        <v>590513.50417334842</v>
      </c>
      <c r="F172" s="88">
        <f t="shared" si="37"/>
        <v>624630.65383440559</v>
      </c>
      <c r="G172" s="88">
        <f t="shared" si="37"/>
        <v>659902.32405830617</v>
      </c>
      <c r="H172" s="88">
        <f t="shared" si="37"/>
        <v>697041.47396142408</v>
      </c>
      <c r="I172" s="88">
        <f t="shared" si="37"/>
        <v>736559.10785511788</v>
      </c>
      <c r="J172" s="88">
        <f t="shared" si="37"/>
        <v>778346.78639304952</v>
      </c>
      <c r="K172" s="88">
        <f t="shared" si="37"/>
        <v>822536.18121956324</v>
      </c>
      <c r="L172" s="269">
        <f>(B172-B155)/$B$19</f>
        <v>1.0309571855105179E-2</v>
      </c>
      <c r="M172" s="269">
        <f>(K172-K155)/$K$19</f>
        <v>9.3775386452667146E-3</v>
      </c>
      <c r="P172" s="269"/>
    </row>
    <row r="173" spans="1:16" s="287" customFormat="1">
      <c r="A173" s="287" t="s">
        <v>317</v>
      </c>
      <c r="B173" s="298"/>
      <c r="C173" s="298"/>
      <c r="D173" s="298"/>
      <c r="E173" s="298"/>
      <c r="F173" s="298"/>
      <c r="G173" s="298"/>
      <c r="H173" s="298"/>
      <c r="I173" s="298"/>
      <c r="J173" s="298"/>
      <c r="K173" s="288"/>
      <c r="L173" s="288">
        <f>SUM(L3:L172)</f>
        <v>-2.9828886346428107E-2</v>
      </c>
      <c r="M173" s="288">
        <f>SUM(M3:M172)</f>
        <v>-3.2787913806588811E-2</v>
      </c>
      <c r="P173" s="288"/>
    </row>
    <row r="174" spans="1:16">
      <c r="A174" s="210" t="s">
        <v>318</v>
      </c>
      <c r="L174"/>
      <c r="M174"/>
    </row>
    <row r="175" spans="1:16">
      <c r="A175" t="s">
        <v>4</v>
      </c>
      <c r="B175" s="88">
        <f>B157</f>
        <v>163701.34411711176</v>
      </c>
      <c r="C175" s="88">
        <f t="shared" ref="C175:K175" si="38">C157</f>
        <v>173418.05306657156</v>
      </c>
      <c r="D175" s="88">
        <f t="shared" si="38"/>
        <v>183509.07406747006</v>
      </c>
      <c r="E175" s="88">
        <f t="shared" si="38"/>
        <v>194606.44970660275</v>
      </c>
      <c r="F175" s="88">
        <f t="shared" si="38"/>
        <v>207003.29304411117</v>
      </c>
      <c r="G175" s="88">
        <f t="shared" si="38"/>
        <v>219286.14633793768</v>
      </c>
      <c r="H175" s="88">
        <f t="shared" si="38"/>
        <v>232294.57476981299</v>
      </c>
      <c r="I175" s="88">
        <f t="shared" si="38"/>
        <v>246360.34369976353</v>
      </c>
      <c r="J175" s="88">
        <f t="shared" si="38"/>
        <v>261277.75638573107</v>
      </c>
      <c r="K175" s="88">
        <f t="shared" si="38"/>
        <v>277098.37036155129</v>
      </c>
      <c r="L175"/>
      <c r="M175" s="88"/>
      <c r="O175" s="88"/>
    </row>
    <row r="176" spans="1:16">
      <c r="A176" t="s">
        <v>5</v>
      </c>
      <c r="B176" s="88">
        <f t="shared" ref="B176:K186" si="39">B158</f>
        <v>123004.95380599919</v>
      </c>
      <c r="C176" s="88">
        <f t="shared" si="39"/>
        <v>129813.88952967607</v>
      </c>
      <c r="D176" s="88">
        <f t="shared" si="39"/>
        <v>136978.11715017905</v>
      </c>
      <c r="E176" s="88">
        <f t="shared" si="39"/>
        <v>144987.53974399122</v>
      </c>
      <c r="F176" s="88">
        <f t="shared" si="39"/>
        <v>153062.886902812</v>
      </c>
      <c r="G176" s="88">
        <f t="shared" si="39"/>
        <v>161685.77008914479</v>
      </c>
      <c r="H176" s="88">
        <f t="shared" si="39"/>
        <v>170792.04123921864</v>
      </c>
      <c r="I176" s="88">
        <f t="shared" si="39"/>
        <v>180336.55028492719</v>
      </c>
      <c r="J176" s="88">
        <f t="shared" si="39"/>
        <v>190414.40004224906</v>
      </c>
      <c r="K176" s="88">
        <f t="shared" si="39"/>
        <v>201055.38822164084</v>
      </c>
      <c r="L176"/>
      <c r="M176" s="88"/>
      <c r="O176" s="88"/>
    </row>
    <row r="177" spans="1:16">
      <c r="A177" t="s">
        <v>6</v>
      </c>
      <c r="B177" s="88">
        <f t="shared" si="39"/>
        <v>14846.36606553379</v>
      </c>
      <c r="C177" s="88">
        <f t="shared" si="39"/>
        <v>15668.186237344358</v>
      </c>
      <c r="D177" s="88">
        <f t="shared" si="39"/>
        <v>16532.889182548894</v>
      </c>
      <c r="E177" s="88">
        <f t="shared" si="39"/>
        <v>17433.443803700426</v>
      </c>
      <c r="F177" s="88">
        <f t="shared" si="39"/>
        <v>18386.986497687139</v>
      </c>
      <c r="G177" s="88">
        <f t="shared" si="39"/>
        <v>19404.434817995611</v>
      </c>
      <c r="H177" s="88">
        <f t="shared" si="39"/>
        <v>20458.487358962069</v>
      </c>
      <c r="I177" s="88">
        <f t="shared" si="39"/>
        <v>21574.501873352096</v>
      </c>
      <c r="J177" s="88">
        <f t="shared" si="39"/>
        <v>22751.390089435594</v>
      </c>
      <c r="K177" s="88">
        <f t="shared" si="39"/>
        <v>23992.471809759092</v>
      </c>
      <c r="L177"/>
      <c r="M177" s="88"/>
      <c r="O177" s="88"/>
    </row>
    <row r="178" spans="1:16">
      <c r="A178" t="s">
        <v>7</v>
      </c>
      <c r="B178" s="88">
        <f t="shared" si="39"/>
        <v>24941.422865988505</v>
      </c>
      <c r="C178" s="88">
        <f t="shared" si="39"/>
        <v>26047.606657348864</v>
      </c>
      <c r="D178" s="88">
        <f t="shared" si="39"/>
        <v>27198.558894676877</v>
      </c>
      <c r="E178" s="88">
        <f t="shared" si="39"/>
        <v>28407.970801060739</v>
      </c>
      <c r="F178" s="88">
        <f t="shared" si="39"/>
        <v>29677.510799943349</v>
      </c>
      <c r="G178" s="88">
        <f t="shared" si="39"/>
        <v>30963.479703361514</v>
      </c>
      <c r="H178" s="88">
        <f t="shared" si="39"/>
        <v>32304.71998697146</v>
      </c>
      <c r="I178" s="88">
        <f t="shared" si="39"/>
        <v>33711.523812694038</v>
      </c>
      <c r="J178" s="88">
        <f t="shared" si="39"/>
        <v>35179.583137929614</v>
      </c>
      <c r="K178" s="88">
        <f t="shared" si="39"/>
        <v>36711.56434700697</v>
      </c>
      <c r="L178"/>
      <c r="M178" s="88"/>
      <c r="O178" s="88"/>
    </row>
    <row r="179" spans="1:16">
      <c r="A179" t="s">
        <v>8</v>
      </c>
      <c r="B179" s="88">
        <f>B161*UF_Assumptions_1!$K$8</f>
        <v>52286.231772280269</v>
      </c>
      <c r="C179" s="88">
        <f>C161*UF_Assumptions_1!$K$8</f>
        <v>55285.142295336918</v>
      </c>
      <c r="D179" s="88">
        <f>D161*UF_Assumptions_1!$K$8</f>
        <v>58225.653685670084</v>
      </c>
      <c r="E179" s="88">
        <f>E161*UF_Assumptions_1!$K$8</f>
        <v>61571.98867015689</v>
      </c>
      <c r="F179" s="88">
        <f>F161*UF_Assumptions_1!$K$8</f>
        <v>65124.578912865283</v>
      </c>
      <c r="G179" s="88">
        <f>G161*UF_Assumptions_1!$K$8</f>
        <v>68858.553697104173</v>
      </c>
      <c r="H179" s="88">
        <f>H161*UF_Assumptions_1!$K$8</f>
        <v>72736.722200257136</v>
      </c>
      <c r="I179" s="88">
        <f>I161*UF_Assumptions_1!$K$8</f>
        <v>76874.278648182473</v>
      </c>
      <c r="J179" s="88">
        <f>J161*UF_Assumptions_1!$K$8</f>
        <v>81247.17765161123</v>
      </c>
      <c r="K179" s="88">
        <f>K161*UF_Assumptions_1!$K$8</f>
        <v>85868.803244853028</v>
      </c>
      <c r="L179"/>
      <c r="M179" s="88"/>
      <c r="N179" s="88"/>
      <c r="O179" s="88"/>
    </row>
    <row r="180" spans="1:16">
      <c r="A180" t="s">
        <v>9</v>
      </c>
      <c r="B180" s="88">
        <f t="shared" si="39"/>
        <v>20867.90919503873</v>
      </c>
      <c r="C180" s="88">
        <f t="shared" si="39"/>
        <v>22377.925534842485</v>
      </c>
      <c r="D180" s="88">
        <f t="shared" si="39"/>
        <v>23948.657448412952</v>
      </c>
      <c r="E180" s="88">
        <f t="shared" si="39"/>
        <v>25660.461534733106</v>
      </c>
      <c r="F180" s="88">
        <f t="shared" si="39"/>
        <v>27474.829198112537</v>
      </c>
      <c r="G180" s="88">
        <f t="shared" si="39"/>
        <v>29462.375994912018</v>
      </c>
      <c r="H180" s="88">
        <f t="shared" si="39"/>
        <v>31593.261659339776</v>
      </c>
      <c r="I180" s="88">
        <f t="shared" si="39"/>
        <v>33853.87622480595</v>
      </c>
      <c r="J180" s="88">
        <f t="shared" si="39"/>
        <v>36276.237964840075</v>
      </c>
      <c r="K180" s="88">
        <f t="shared" si="39"/>
        <v>38871.918815141275</v>
      </c>
      <c r="L180"/>
      <c r="M180" s="88"/>
      <c r="N180" s="88"/>
      <c r="O180" s="88"/>
    </row>
    <row r="181" spans="1:16">
      <c r="A181" t="s">
        <v>10</v>
      </c>
      <c r="B181" s="88">
        <f t="shared" si="39"/>
        <v>17757.579038677741</v>
      </c>
      <c r="C181" s="88">
        <f t="shared" si="39"/>
        <v>18616.204444899169</v>
      </c>
      <c r="D181" s="88">
        <f t="shared" si="39"/>
        <v>19457.408653536819</v>
      </c>
      <c r="E181" s="88">
        <f t="shared" si="39"/>
        <v>20342.06844363112</v>
      </c>
      <c r="F181" s="88">
        <f t="shared" si="39"/>
        <v>21312.213248327851</v>
      </c>
      <c r="G181" s="88">
        <f t="shared" si="39"/>
        <v>22363.615781507619</v>
      </c>
      <c r="H181" s="88">
        <f t="shared" si="39"/>
        <v>23533.670768812877</v>
      </c>
      <c r="I181" s="88">
        <f t="shared" si="39"/>
        <v>24699.744587016823</v>
      </c>
      <c r="J181" s="88">
        <f t="shared" si="39"/>
        <v>25923.590571008142</v>
      </c>
      <c r="K181" s="88">
        <f t="shared" si="39"/>
        <v>27208.070352332947</v>
      </c>
      <c r="L181"/>
      <c r="M181" s="88"/>
      <c r="N181" s="88"/>
      <c r="O181" s="88"/>
    </row>
    <row r="182" spans="1:16">
      <c r="A182" t="s">
        <v>18</v>
      </c>
      <c r="B182" s="88">
        <f t="shared" si="39"/>
        <v>30129.715383992829</v>
      </c>
      <c r="C182" s="88">
        <f t="shared" si="39"/>
        <v>31887.964482189302</v>
      </c>
      <c r="D182" s="88">
        <f t="shared" si="39"/>
        <v>33775.386523872621</v>
      </c>
      <c r="E182" s="88">
        <f t="shared" si="39"/>
        <v>35750.310326062507</v>
      </c>
      <c r="F182" s="88">
        <f t="shared" si="39"/>
        <v>37920.359099771907</v>
      </c>
      <c r="G182" s="88">
        <f t="shared" si="39"/>
        <v>40208.353335239961</v>
      </c>
      <c r="H182" s="88">
        <f t="shared" si="39"/>
        <v>42593.581474180231</v>
      </c>
      <c r="I182" s="88">
        <f t="shared" si="39"/>
        <v>45144.282224803901</v>
      </c>
      <c r="J182" s="88">
        <f t="shared" si="39"/>
        <v>47847.719992797312</v>
      </c>
      <c r="K182" s="88">
        <f t="shared" si="39"/>
        <v>50713.039430147663</v>
      </c>
      <c r="L182"/>
      <c r="M182" s="88"/>
      <c r="N182" s="88"/>
      <c r="O182" s="88"/>
    </row>
    <row r="183" spans="1:16">
      <c r="A183" t="s">
        <v>16</v>
      </c>
      <c r="B183" s="88">
        <f t="shared" si="39"/>
        <v>9782.1964709051808</v>
      </c>
      <c r="C183" s="88">
        <f t="shared" si="39"/>
        <v>10235.620288041428</v>
      </c>
      <c r="D183" s="88">
        <f t="shared" si="39"/>
        <v>10718.608738513452</v>
      </c>
      <c r="E183" s="88">
        <f t="shared" si="39"/>
        <v>11227.392884844547</v>
      </c>
      <c r="F183" s="88">
        <f t="shared" si="39"/>
        <v>11762.844670768076</v>
      </c>
      <c r="G183" s="88">
        <f t="shared" si="39"/>
        <v>12331.378432521382</v>
      </c>
      <c r="H183" s="88">
        <f t="shared" si="39"/>
        <v>12927.210476218879</v>
      </c>
      <c r="I183" s="88">
        <f t="shared" si="39"/>
        <v>13546.193223849727</v>
      </c>
      <c r="J183" s="88">
        <f t="shared" si="39"/>
        <v>14194.81101374695</v>
      </c>
      <c r="K183" s="88">
        <f t="shared" si="39"/>
        <v>14874.482336746029</v>
      </c>
      <c r="L183"/>
      <c r="M183" s="88"/>
      <c r="N183" s="88"/>
      <c r="O183" s="88"/>
    </row>
    <row r="184" spans="1:16">
      <c r="A184" t="s">
        <v>11</v>
      </c>
      <c r="B184" s="88">
        <f t="shared" si="39"/>
        <v>6255.1260573301888</v>
      </c>
      <c r="C184" s="88">
        <f t="shared" si="39"/>
        <v>6626.4073053190768</v>
      </c>
      <c r="D184" s="88">
        <f t="shared" si="39"/>
        <v>7018.6188311509068</v>
      </c>
      <c r="E184" s="88">
        <f t="shared" si="39"/>
        <v>7436.0352169331964</v>
      </c>
      <c r="F184" s="88">
        <f t="shared" si="39"/>
        <v>7879.962634700837</v>
      </c>
      <c r="G184" s="88">
        <f t="shared" si="39"/>
        <v>8363.2970619861317</v>
      </c>
      <c r="H184" s="88">
        <f t="shared" si="39"/>
        <v>8834.3246033280357</v>
      </c>
      <c r="I184" s="88">
        <f t="shared" si="39"/>
        <v>9354.5286976528132</v>
      </c>
      <c r="J184" s="88">
        <f t="shared" si="39"/>
        <v>9905.3624844816713</v>
      </c>
      <c r="K184" s="88">
        <f t="shared" si="39"/>
        <v>10488.629176979019</v>
      </c>
      <c r="L184"/>
      <c r="M184" s="88"/>
      <c r="N184" s="88"/>
      <c r="O184" s="88"/>
    </row>
    <row r="185" spans="1:16">
      <c r="A185" t="s">
        <v>13</v>
      </c>
      <c r="B185" s="88">
        <f t="shared" si="39"/>
        <v>13015.934321462773</v>
      </c>
      <c r="C185" s="88">
        <f t="shared" si="39"/>
        <v>13476.024721270978</v>
      </c>
      <c r="D185" s="88">
        <f t="shared" si="39"/>
        <v>13923.220163679234</v>
      </c>
      <c r="E185" s="88">
        <f t="shared" si="39"/>
        <v>14458.753862211928</v>
      </c>
      <c r="F185" s="88">
        <f t="shared" si="39"/>
        <v>15047.036138730071</v>
      </c>
      <c r="G185" s="88">
        <f t="shared" si="39"/>
        <v>15608.734786912868</v>
      </c>
      <c r="H185" s="88">
        <f t="shared" si="39"/>
        <v>16159.948137089295</v>
      </c>
      <c r="I185" s="88">
        <f t="shared" si="39"/>
        <v>16766.700865673727</v>
      </c>
      <c r="J185" s="88">
        <f t="shared" si="39"/>
        <v>17396.231249972214</v>
      </c>
      <c r="K185" s="88">
        <f t="shared" si="39"/>
        <v>18049.393987394586</v>
      </c>
      <c r="L185"/>
      <c r="M185" s="88"/>
      <c r="N185" s="88"/>
      <c r="O185" s="88"/>
    </row>
    <row r="186" spans="1:16">
      <c r="A186" s="6" t="s">
        <v>71</v>
      </c>
      <c r="B186" s="88">
        <f t="shared" si="39"/>
        <v>28791.565066927964</v>
      </c>
      <c r="C186" s="88">
        <f t="shared" si="39"/>
        <v>30298.917575967578</v>
      </c>
      <c r="D186" s="88">
        <f t="shared" si="39"/>
        <v>31880.154947029732</v>
      </c>
      <c r="E186" s="88">
        <f t="shared" si="39"/>
        <v>33584.788311616554</v>
      </c>
      <c r="F186" s="88">
        <f t="shared" si="39"/>
        <v>35388.140800757341</v>
      </c>
      <c r="G186" s="88">
        <f t="shared" si="39"/>
        <v>37275.55331184082</v>
      </c>
      <c r="H186" s="88">
        <f t="shared" si="39"/>
        <v>39225.794609276592</v>
      </c>
      <c r="I186" s="88">
        <f t="shared" si="39"/>
        <v>41300.179658613044</v>
      </c>
      <c r="J186" s="88">
        <f t="shared" si="39"/>
        <v>43484.255035020928</v>
      </c>
      <c r="K186" s="88">
        <f t="shared" si="39"/>
        <v>45783.819883571348</v>
      </c>
      <c r="L186"/>
      <c r="M186" s="88"/>
      <c r="N186" s="88"/>
      <c r="O186" s="88"/>
    </row>
    <row r="187" spans="1:16">
      <c r="A187" s="6" t="s">
        <v>166</v>
      </c>
      <c r="B187" s="285">
        <f>B169*(SUM(B175:B184)/SUM(B157:B166))</f>
        <v>14337.304477511074</v>
      </c>
      <c r="C187" s="285">
        <f t="shared" ref="C187:K187" si="40">C169*(SUM(C175:C184)/SUM(C157:C166))</f>
        <v>15153.927830151626</v>
      </c>
      <c r="D187" s="285">
        <f t="shared" si="40"/>
        <v>16000.916696165928</v>
      </c>
      <c r="E187" s="285">
        <f t="shared" si="40"/>
        <v>16930.628694795359</v>
      </c>
      <c r="F187" s="285">
        <f t="shared" si="40"/>
        <v>17925.942216776293</v>
      </c>
      <c r="G187" s="285">
        <f t="shared" si="40"/>
        <v>18956.51768819724</v>
      </c>
      <c r="H187" s="285">
        <f t="shared" si="40"/>
        <v>20043.358593930992</v>
      </c>
      <c r="I187" s="285">
        <f t="shared" si="40"/>
        <v>21199.6646374345</v>
      </c>
      <c r="J187" s="285">
        <f t="shared" si="40"/>
        <v>22423.238020633944</v>
      </c>
      <c r="K187" s="285">
        <f t="shared" si="40"/>
        <v>23718.022827716239</v>
      </c>
      <c r="L187" s="6"/>
      <c r="M187" s="261">
        <f>K187/(SUM(K175:K184)+K187)</f>
        <v>3.0000000000000006E-2</v>
      </c>
      <c r="N187" s="88"/>
      <c r="O187" s="88"/>
    </row>
    <row r="188" spans="1:16">
      <c r="A188" s="212" t="s">
        <v>218</v>
      </c>
      <c r="B188" s="88">
        <f t="shared" ref="B188:K189" si="41">B170</f>
        <v>2085.3611888863684</v>
      </c>
      <c r="C188" s="88">
        <f t="shared" si="41"/>
        <v>2085.3611888863684</v>
      </c>
      <c r="D188" s="88">
        <f t="shared" si="41"/>
        <v>2085.3611888863684</v>
      </c>
      <c r="E188" s="88">
        <f t="shared" si="41"/>
        <v>2085.3611888863684</v>
      </c>
      <c r="F188" s="88">
        <f t="shared" si="41"/>
        <v>2085.3611888863684</v>
      </c>
      <c r="G188" s="88">
        <f t="shared" si="41"/>
        <v>2085.3611888863684</v>
      </c>
      <c r="H188" s="88">
        <f t="shared" si="41"/>
        <v>2085.3611888863684</v>
      </c>
      <c r="I188" s="88">
        <f t="shared" si="41"/>
        <v>2085.3611888863684</v>
      </c>
      <c r="J188" s="88">
        <f t="shared" si="41"/>
        <v>2085.3611888863684</v>
      </c>
      <c r="K188" s="88">
        <f t="shared" si="41"/>
        <v>2085.3611888863684</v>
      </c>
      <c r="L188"/>
      <c r="M188" s="88"/>
      <c r="O188" s="88"/>
    </row>
    <row r="189" spans="1:16">
      <c r="A189" s="211" t="s">
        <v>276</v>
      </c>
      <c r="B189" s="88">
        <f t="shared" si="41"/>
        <v>5330.1132770442609</v>
      </c>
      <c r="C189" s="88">
        <f t="shared" si="41"/>
        <v>5582.6721098604348</v>
      </c>
      <c r="D189" s="88">
        <f t="shared" si="41"/>
        <v>5839.4732775505645</v>
      </c>
      <c r="E189" s="88">
        <f t="shared" si="41"/>
        <v>6116.1778401278252</v>
      </c>
      <c r="F189" s="88">
        <f t="shared" si="41"/>
        <v>6400.4743926080209</v>
      </c>
      <c r="G189" s="88">
        <f t="shared" si="41"/>
        <v>6695.0465692015878</v>
      </c>
      <c r="H189" s="88">
        <f t="shared" si="41"/>
        <v>6999.697710060711</v>
      </c>
      <c r="I189" s="88">
        <f t="shared" si="41"/>
        <v>7314.3896229619468</v>
      </c>
      <c r="J189" s="88">
        <f t="shared" si="41"/>
        <v>7639.4087674018856</v>
      </c>
      <c r="K189" s="88">
        <f t="shared" si="41"/>
        <v>7974.8433013006306</v>
      </c>
      <c r="L189"/>
      <c r="M189" s="88"/>
      <c r="O189" s="88"/>
    </row>
    <row r="190" spans="1:16">
      <c r="A190" s="6" t="s">
        <v>98</v>
      </c>
      <c r="B190" s="88">
        <f>SUM(B175:B189)</f>
        <v>527133.12310469057</v>
      </c>
      <c r="C190" s="88">
        <f t="shared" ref="C190:K190" si="42">SUM(C175:C189)</f>
        <v>556573.90326770616</v>
      </c>
      <c r="D190" s="88">
        <f t="shared" si="42"/>
        <v>587092.09944934351</v>
      </c>
      <c r="E190" s="88">
        <f t="shared" si="42"/>
        <v>620599.37102935452</v>
      </c>
      <c r="F190" s="88">
        <f t="shared" si="42"/>
        <v>656452.4197468583</v>
      </c>
      <c r="G190" s="88">
        <f t="shared" si="42"/>
        <v>693548.61879674974</v>
      </c>
      <c r="H190" s="88">
        <f t="shared" si="42"/>
        <v>732582.75477634592</v>
      </c>
      <c r="I190" s="88">
        <f t="shared" si="42"/>
        <v>774122.11925061839</v>
      </c>
      <c r="J190" s="88">
        <f t="shared" si="42"/>
        <v>818046.52359574614</v>
      </c>
      <c r="K190" s="88">
        <f t="shared" si="42"/>
        <v>864494.17928502744</v>
      </c>
      <c r="L190" s="269">
        <f>(B190-B172)/$B$19</f>
        <v>4.9416374901163518E-2</v>
      </c>
      <c r="M190" s="269">
        <f>(K190-K172)/$K$19</f>
        <v>4.933799116438372E-2</v>
      </c>
      <c r="O190" s="88"/>
    </row>
    <row r="191" spans="1:16">
      <c r="A191" s="210" t="s">
        <v>362</v>
      </c>
      <c r="P191" s="269"/>
    </row>
    <row r="192" spans="1:16">
      <c r="A192" t="s">
        <v>4</v>
      </c>
      <c r="B192" s="88">
        <f t="shared" ref="B192:B203" si="43">B175</f>
        <v>163701.34411711176</v>
      </c>
      <c r="C192" s="88">
        <f>B192*(1+UF_Assumptions_2!B3)</f>
        <v>172541.21669943581</v>
      </c>
      <c r="D192" s="88">
        <f>C192*(1+UF_Assumptions_2!C3)</f>
        <v>181685.9011845059</v>
      </c>
      <c r="E192" s="88">
        <f>D192*(1+UF_Assumptions_2!D3)</f>
        <v>191678.6257496537</v>
      </c>
      <c r="F192" s="88">
        <f>E192*(1+UF_Assumptions_2!E3)</f>
        <v>202795.98604313363</v>
      </c>
      <c r="G192" s="88">
        <f>F192*(1+UF_Assumptions_2!F3)</f>
        <v>213746.96928946284</v>
      </c>
      <c r="H192" s="88">
        <f>G192*(1+UF_Assumptions_2!G3)</f>
        <v>225289.30563109386</v>
      </c>
      <c r="I192" s="88">
        <f>H192*(1+UF_Assumptions_2!H3)</f>
        <v>237755.31387601441</v>
      </c>
      <c r="J192" s="88">
        <f>I192*(1+UF_Assumptions_2!I3)</f>
        <v>250911.10791048722</v>
      </c>
      <c r="K192" s="88">
        <f>J192*(1+UF_Assumptions_2!J3)</f>
        <v>264794.85588153423</v>
      </c>
      <c r="P192" s="269"/>
    </row>
    <row r="193" spans="1:16">
      <c r="A193" t="s">
        <v>5</v>
      </c>
      <c r="B193" s="88">
        <f t="shared" si="43"/>
        <v>123004.95380599919</v>
      </c>
      <c r="C193" s="88">
        <f>B193*(1+UF_Assumptions_2!B4)</f>
        <v>129155.20149629915</v>
      </c>
      <c r="D193" s="88">
        <f>C193*(1+UF_Assumptions_2!C4)</f>
        <v>135612.96157111411</v>
      </c>
      <c r="E193" s="88">
        <f>D193*(1+UF_Assumptions_2!D4)</f>
        <v>142800.44853438315</v>
      </c>
      <c r="F193" s="88">
        <f>E193*(1+UF_Assumptions_2!E4)</f>
        <v>149940.47096110231</v>
      </c>
      <c r="G193" s="88">
        <f>F193*(1+UF_Assumptions_2!F4)</f>
        <v>157587.43498011853</v>
      </c>
      <c r="H193" s="88">
        <f>G193*(1+UF_Assumptions_2!G4)</f>
        <v>165624.39416410457</v>
      </c>
      <c r="I193" s="88">
        <f>H193*(1+UF_Assumptions_2!H4)</f>
        <v>174016.03013508586</v>
      </c>
      <c r="J193" s="88">
        <f>I193*(1+UF_Assumptions_2!I4)</f>
        <v>182832.84232859689</v>
      </c>
      <c r="K193" s="88">
        <f>J193*(1+UF_Assumptions_2!J4)</f>
        <v>192096.37300657912</v>
      </c>
      <c r="P193" s="269"/>
    </row>
    <row r="194" spans="1:16">
      <c r="A194" t="s">
        <v>6</v>
      </c>
      <c r="B194" s="88">
        <f t="shared" si="43"/>
        <v>14846.36606553379</v>
      </c>
      <c r="C194" s="88">
        <f>B194*(1+UF_Assumptions_2!B5)</f>
        <v>15588.68436881048</v>
      </c>
      <c r="D194" s="88">
        <f>C194*(1+UF_Assumptions_2!C5)</f>
        <v>16368.118587251005</v>
      </c>
      <c r="E194" s="88">
        <f>D194*(1+UF_Assumptions_2!D5)</f>
        <v>17170.156398026302</v>
      </c>
      <c r="F194" s="88">
        <f>E194*(1+UF_Assumptions_2!E5)</f>
        <v>18011.494061529589</v>
      </c>
      <c r="G194" s="88">
        <f>F194*(1+UF_Assumptions_2!F5)</f>
        <v>18912.068764606069</v>
      </c>
      <c r="H194" s="88">
        <f>G194*(1+UF_Assumptions_2!G5)</f>
        <v>19838.760134071767</v>
      </c>
      <c r="I194" s="88">
        <f>H194*(1+UF_Assumptions_2!H5)</f>
        <v>20817.472300685971</v>
      </c>
      <c r="J194" s="88">
        <f>I194*(1+UF_Assumptions_2!I5)</f>
        <v>21844.467600853142</v>
      </c>
      <c r="K194" s="88">
        <f>J194*(1+UF_Assumptions_2!J5)</f>
        <v>22922.128002495228</v>
      </c>
      <c r="P194" s="269"/>
    </row>
    <row r="195" spans="1:16">
      <c r="A195" t="s">
        <v>7</v>
      </c>
      <c r="B195" s="88">
        <f t="shared" si="43"/>
        <v>24941.422865988505</v>
      </c>
      <c r="C195" s="88">
        <f>B195*(1+UF_Assumptions_2!B6)</f>
        <v>25914.138357762055</v>
      </c>
      <c r="D195" s="88">
        <f>C195*(1+UF_Assumptions_2!C6)</f>
        <v>26924.789753714773</v>
      </c>
      <c r="E195" s="88">
        <f>D195*(1+UF_Assumptions_2!D6)</f>
        <v>27974.856554109647</v>
      </c>
      <c r="F195" s="88">
        <f>E195*(1+UF_Assumptions_2!E6)</f>
        <v>29065.875959719921</v>
      </c>
      <c r="G195" s="88">
        <f>F195*(1+UF_Assumptions_2!F6)</f>
        <v>30170.379246189277</v>
      </c>
      <c r="H195" s="88">
        <f>G195*(1+UF_Assumptions_2!G6)</f>
        <v>31316.85365754447</v>
      </c>
      <c r="I195" s="88">
        <f>H195*(1+UF_Assumptions_2!H6)</f>
        <v>32517.33304775034</v>
      </c>
      <c r="J195" s="88">
        <f>I195*(1+UF_Assumptions_2!I6)</f>
        <v>33763.830814580768</v>
      </c>
      <c r="K195" s="88">
        <f>J195*(1+UF_Assumptions_2!J6)</f>
        <v>35058.110995806361</v>
      </c>
      <c r="P195" s="269"/>
    </row>
    <row r="196" spans="1:16">
      <c r="A196" t="s">
        <v>8</v>
      </c>
      <c r="B196" s="88">
        <f t="shared" si="43"/>
        <v>52286.231772280269</v>
      </c>
      <c r="C196" s="88">
        <f>B196*(1+UF_Assumptions_2!B7)</f>
        <v>55005.115824438843</v>
      </c>
      <c r="D196" s="88">
        <f>C196*(1+UF_Assumptions_2!C7)</f>
        <v>57645.361384011907</v>
      </c>
      <c r="E196" s="88">
        <f>D196*(1+UF_Assumptions_2!D7)</f>
        <v>60642.920175980529</v>
      </c>
      <c r="F196" s="88">
        <f>E196*(1+UF_Assumptions_2!E7)</f>
        <v>63796.35202513152</v>
      </c>
      <c r="G196" s="88">
        <f>F196*(1+UF_Assumptions_2!F7)</f>
        <v>67113.76233043836</v>
      </c>
      <c r="H196" s="88">
        <f>G196*(1+UF_Assumptions_2!G7)</f>
        <v>70536.564209290707</v>
      </c>
      <c r="I196" s="88">
        <f>H196*(1+UF_Assumptions_2!H7)</f>
        <v>74180.95336010406</v>
      </c>
      <c r="J196" s="88">
        <f>I196*(1+UF_Assumptions_2!I7)</f>
        <v>78013.635950376105</v>
      </c>
      <c r="K196" s="88">
        <f>J196*(1+UF_Assumptions_2!J7)</f>
        <v>82044.340474478871</v>
      </c>
      <c r="P196" s="269"/>
    </row>
    <row r="197" spans="1:16">
      <c r="A197" t="s">
        <v>9</v>
      </c>
      <c r="B197" s="88">
        <f t="shared" si="43"/>
        <v>20867.90919503873</v>
      </c>
      <c r="C197" s="88">
        <f>B197*(1+UF_Assumptions_2!B8)</f>
        <v>22266.059111106322</v>
      </c>
      <c r="D197" s="88">
        <f>C197*(1+UF_Assumptions_2!C8)</f>
        <v>23713.352953328231</v>
      </c>
      <c r="E197" s="88">
        <f>D197*(1+UF_Assumptions_2!D8)</f>
        <v>25278.434248247897</v>
      </c>
      <c r="F197" s="88">
        <f>E197*(1+UF_Assumptions_2!E8)</f>
        <v>26921.53247438401</v>
      </c>
      <c r="G197" s="88">
        <f>F197*(1+UF_Assumptions_2!F8)</f>
        <v>28725.275150167738</v>
      </c>
      <c r="H197" s="88">
        <f>G197*(1+UF_Assumptions_2!G8)</f>
        <v>30649.868585228975</v>
      </c>
      <c r="I197" s="88">
        <f>H197*(1+UF_Assumptions_2!H8)</f>
        <v>32682.976534715832</v>
      </c>
      <c r="J197" s="88">
        <f>I197*(1+UF_Assumptions_2!I8)</f>
        <v>34850.947311518648</v>
      </c>
      <c r="K197" s="88">
        <f>J197*(1+UF_Assumptions_2!J8)</f>
        <v>37162.726816516049</v>
      </c>
      <c r="P197" s="269"/>
    </row>
    <row r="198" spans="1:16">
      <c r="A198" t="s">
        <v>10</v>
      </c>
      <c r="B198" s="88">
        <f t="shared" si="43"/>
        <v>17757.579038677741</v>
      </c>
      <c r="C198" s="88">
        <f>B198*(1+UF_Assumptions_2!B9)</f>
        <v>18521.154937340882</v>
      </c>
      <c r="D198" s="88">
        <f>C198*(1+UF_Assumptions_2!C9)</f>
        <v>19262.001134834518</v>
      </c>
      <c r="E198" s="88">
        <f>D198*(1+UF_Assumptions_2!D9)</f>
        <v>20032.4811802279</v>
      </c>
      <c r="F198" s="88">
        <f>E198*(1+UF_Assumptions_2!E9)</f>
        <v>20873.845389797472</v>
      </c>
      <c r="G198" s="88">
        <f>F198*(1+UF_Assumptions_2!F9)</f>
        <v>21792.294586948563</v>
      </c>
      <c r="H198" s="88">
        <f>G198*(1+UF_Assumptions_2!G9)</f>
        <v>22816.532432535143</v>
      </c>
      <c r="I198" s="88">
        <f>H198*(1+UF_Assumptions_2!H9)</f>
        <v>23828.065370377535</v>
      </c>
      <c r="J198" s="88">
        <f>I198*(1+UF_Assumptions_2!I9)</f>
        <v>24884.442935130941</v>
      </c>
      <c r="K198" s="88">
        <f>J198*(1+UF_Assumptions_2!J9)</f>
        <v>25987.653238588413</v>
      </c>
      <c r="P198" s="269"/>
    </row>
    <row r="199" spans="1:16">
      <c r="A199" t="s">
        <v>18</v>
      </c>
      <c r="B199" s="88">
        <f t="shared" si="43"/>
        <v>30129.715383992829</v>
      </c>
      <c r="C199" s="88">
        <f>B199*(1+UF_Assumptions_2!B10)</f>
        <v>31726.590299344447</v>
      </c>
      <c r="D199" s="88">
        <f>C199*(1+UF_Assumptions_2!C10)</f>
        <v>33439.82617550905</v>
      </c>
      <c r="E199" s="88">
        <f>D199*(1+UF_Assumptions_2!D10)</f>
        <v>35212.136962811026</v>
      </c>
      <c r="F199" s="88">
        <f>E199*(1+UF_Assumptions_2!E10)</f>
        <v>37148.804495765631</v>
      </c>
      <c r="G199" s="88">
        <f>F199*(1+UF_Assumptions_2!F10)</f>
        <v>39191.988743032736</v>
      </c>
      <c r="H199" s="88">
        <f>G199*(1+UF_Assumptions_2!G10)</f>
        <v>41308.356135156508</v>
      </c>
      <c r="I199" s="88">
        <f>H199*(1+UF_Assumptions_2!H10)</f>
        <v>43566.546270545063</v>
      </c>
      <c r="J199" s="88">
        <f>I199*(1+UF_Assumptions_2!I10)</f>
        <v>45948.184133334857</v>
      </c>
      <c r="K199" s="88">
        <f>J199*(1+UF_Assumptions_2!J10)</f>
        <v>48460.018199290491</v>
      </c>
      <c r="P199" s="269"/>
    </row>
    <row r="200" spans="1:16">
      <c r="A200" t="s">
        <v>16</v>
      </c>
      <c r="B200" s="88">
        <f t="shared" si="43"/>
        <v>9782.1964709051808</v>
      </c>
      <c r="C200" s="88">
        <f>B200*(1+UF_Assumptions_2!B11)</f>
        <v>10183.266526212292</v>
      </c>
      <c r="D200" s="88">
        <f>C200*(1+UF_Assumptions_2!C11)</f>
        <v>10610.963720313208</v>
      </c>
      <c r="E200" s="88">
        <f>D200*(1+UF_Assumptions_2!D11)</f>
        <v>11056.624196566363</v>
      </c>
      <c r="F200" s="88">
        <f>E200*(1+UF_Assumptions_2!E11)</f>
        <v>11521.00241282215</v>
      </c>
      <c r="G200" s="88">
        <f>F200*(1+UF_Assumptions_2!F11)</f>
        <v>12016.405516573503</v>
      </c>
      <c r="H200" s="88">
        <f>G200*(1+UF_Assumptions_2!G11)</f>
        <v>12533.110953786163</v>
      </c>
      <c r="I200" s="88">
        <f>H200*(1+UF_Assumptions_2!H11)</f>
        <v>13067.857021147705</v>
      </c>
      <c r="J200" s="88">
        <f>I200*(1+UF_Assumptions_2!I11)</f>
        <v>13625.418920716673</v>
      </c>
      <c r="K200" s="88">
        <f>J200*(1+UF_Assumptions_2!J11)</f>
        <v>14206.770128000584</v>
      </c>
      <c r="P200" s="269"/>
    </row>
    <row r="201" spans="1:16">
      <c r="A201" t="s">
        <v>11</v>
      </c>
      <c r="B201" s="88">
        <f t="shared" si="43"/>
        <v>6255.1260573301888</v>
      </c>
      <c r="C201" s="88">
        <f>B201*(1+UF_Assumptions_2!B12)</f>
        <v>6592.9028644260197</v>
      </c>
      <c r="D201" s="88">
        <f>C201*(1+UF_Assumptions_2!C12)</f>
        <v>6948.919619105025</v>
      </c>
      <c r="E201" s="88">
        <f>D201*(1+UF_Assumptions_2!D12)</f>
        <v>7324.161278536697</v>
      </c>
      <c r="F201" s="88">
        <f>E201*(1+UF_Assumptions_2!E12)</f>
        <v>7719.6659875776786</v>
      </c>
      <c r="G201" s="88">
        <f>F201*(1+UF_Assumptions_2!F12)</f>
        <v>8151.9672828820294</v>
      </c>
      <c r="H201" s="88">
        <f>G201*(1+UF_Assumptions_2!G12)</f>
        <v>8567.7176143090128</v>
      </c>
      <c r="I201" s="88">
        <f>H201*(1+UF_Assumptions_2!H12)</f>
        <v>9027.5184596102645</v>
      </c>
      <c r="J201" s="88">
        <f>I201*(1+UF_Assumptions_2!I12)</f>
        <v>9511.9952836093489</v>
      </c>
      <c r="K201" s="88">
        <f>J201*(1+UF_Assumptions_2!J12)</f>
        <v>10022.472363829718</v>
      </c>
      <c r="P201" s="269"/>
    </row>
    <row r="202" spans="1:16">
      <c r="A202" t="s">
        <v>13</v>
      </c>
      <c r="B202" s="88">
        <f t="shared" si="43"/>
        <v>13015.934321462773</v>
      </c>
      <c r="C202" s="88">
        <f t="shared" ref="C202:K202" si="44">C185</f>
        <v>13476.024721270978</v>
      </c>
      <c r="D202" s="88">
        <f t="shared" si="44"/>
        <v>13923.220163679234</v>
      </c>
      <c r="E202" s="88">
        <f t="shared" si="44"/>
        <v>14458.753862211928</v>
      </c>
      <c r="F202" s="88">
        <f t="shared" si="44"/>
        <v>15047.036138730071</v>
      </c>
      <c r="G202" s="88">
        <f t="shared" si="44"/>
        <v>15608.734786912868</v>
      </c>
      <c r="H202" s="88">
        <f t="shared" si="44"/>
        <v>16159.948137089295</v>
      </c>
      <c r="I202" s="88">
        <f t="shared" si="44"/>
        <v>16766.700865673727</v>
      </c>
      <c r="J202" s="88">
        <f t="shared" si="44"/>
        <v>17396.231249972214</v>
      </c>
      <c r="K202" s="88">
        <f t="shared" si="44"/>
        <v>18049.393987394586</v>
      </c>
      <c r="P202" s="269"/>
    </row>
    <row r="203" spans="1:16">
      <c r="A203" s="6" t="s">
        <v>71</v>
      </c>
      <c r="B203" s="88">
        <f t="shared" si="43"/>
        <v>28791.565066927964</v>
      </c>
      <c r="C203" s="88">
        <f>B203*(1+UF_Assumptions_2!B14)</f>
        <v>30144.768625073575</v>
      </c>
      <c r="D203" s="88">
        <f>C203*(1+UF_Assumptions_2!C14)</f>
        <v>31561.572750452033</v>
      </c>
      <c r="E203" s="88">
        <f>D203*(1+UF_Assumptions_2!D14)</f>
        <v>33076.528242473731</v>
      </c>
      <c r="F203" s="88">
        <f>E203*(1+UF_Assumptions_2!E14)</f>
        <v>34664.201598112471</v>
      </c>
      <c r="G203" s="88">
        <f>F203*(1+UF_Assumptions_2!F14)</f>
        <v>36328.083274821875</v>
      </c>
      <c r="H203" s="88">
        <f>G203*(1+UF_Assumptions_2!G14)</f>
        <v>38035.503188738498</v>
      </c>
      <c r="I203" s="88">
        <f>H203*(1+UF_Assumptions_2!H14)</f>
        <v>39848.528840735038</v>
      </c>
      <c r="J203" s="88">
        <f>I203*(1+UF_Assumptions_2!I14)</f>
        <v>41747.975382143413</v>
      </c>
      <c r="K203" s="88">
        <f>J203*(1+UF_Assumptions_2!J14)</f>
        <v>43737.962208692254</v>
      </c>
      <c r="P203" s="269"/>
    </row>
    <row r="204" spans="1:16">
      <c r="A204" s="6" t="s">
        <v>166</v>
      </c>
      <c r="B204" s="285">
        <f>B187*(SUM(B192:B201)/SUM(B175:B184))</f>
        <v>14337.304477511074</v>
      </c>
      <c r="C204" s="285">
        <f t="shared" ref="C204:K204" si="45">C187*(SUM(C192:C201)/SUM(C175:C184))</f>
        <v>15077.144241809579</v>
      </c>
      <c r="D204" s="285">
        <f t="shared" si="45"/>
        <v>15841.61431186663</v>
      </c>
      <c r="E204" s="285">
        <f t="shared" si="45"/>
        <v>16675.386967377624</v>
      </c>
      <c r="F204" s="285">
        <f t="shared" si="45"/>
        <v>17560.671025081352</v>
      </c>
      <c r="G204" s="285">
        <f t="shared" si="45"/>
        <v>18476.55296568308</v>
      </c>
      <c r="H204" s="285">
        <f t="shared" si="45"/>
        <v>19437.571036611997</v>
      </c>
      <c r="I204" s="285">
        <f t="shared" si="45"/>
        <v>20457.527826063004</v>
      </c>
      <c r="J204" s="285">
        <f t="shared" si="45"/>
        <v>21531.552779047564</v>
      </c>
      <c r="K204" s="285">
        <f t="shared" si="45"/>
        <v>22662.539663106774</v>
      </c>
      <c r="L204" s="299"/>
      <c r="M204" s="299"/>
      <c r="N204" s="261">
        <f>K204/(SUM(K192:K201)+K204)</f>
        <v>3.0000000000000006E-2</v>
      </c>
      <c r="P204" s="269"/>
    </row>
    <row r="205" spans="1:16">
      <c r="A205" s="212" t="s">
        <v>218</v>
      </c>
      <c r="B205" s="88">
        <f>B188</f>
        <v>2085.3611888863684</v>
      </c>
      <c r="C205" s="88">
        <f t="shared" ref="C205:K206" si="46">C170</f>
        <v>2085.3611888863684</v>
      </c>
      <c r="D205" s="88">
        <f t="shared" si="46"/>
        <v>2085.3611888863684</v>
      </c>
      <c r="E205" s="88">
        <f t="shared" si="46"/>
        <v>2085.3611888863684</v>
      </c>
      <c r="F205" s="88">
        <f t="shared" si="46"/>
        <v>2085.3611888863684</v>
      </c>
      <c r="G205" s="88">
        <f t="shared" si="46"/>
        <v>2085.3611888863684</v>
      </c>
      <c r="H205" s="88">
        <f t="shared" si="46"/>
        <v>2085.3611888863684</v>
      </c>
      <c r="I205" s="88">
        <f t="shared" si="46"/>
        <v>2085.3611888863684</v>
      </c>
      <c r="J205" s="88">
        <f t="shared" si="46"/>
        <v>2085.3611888863684</v>
      </c>
      <c r="K205" s="88">
        <f t="shared" si="46"/>
        <v>2085.3611888863684</v>
      </c>
      <c r="P205" s="269"/>
    </row>
    <row r="206" spans="1:16">
      <c r="A206" s="211" t="s">
        <v>276</v>
      </c>
      <c r="B206" s="88">
        <f>B171</f>
        <v>5330.1132770442609</v>
      </c>
      <c r="C206" s="88">
        <f t="shared" si="46"/>
        <v>5582.6721098604348</v>
      </c>
      <c r="D206" s="88">
        <f t="shared" si="46"/>
        <v>5839.4732775505645</v>
      </c>
      <c r="E206" s="88">
        <f t="shared" si="46"/>
        <v>6116.1778401278252</v>
      </c>
      <c r="F206" s="88">
        <f t="shared" si="46"/>
        <v>6400.4743926080209</v>
      </c>
      <c r="G206" s="88">
        <f t="shared" si="46"/>
        <v>6695.0465692015878</v>
      </c>
      <c r="H206" s="88">
        <f t="shared" si="46"/>
        <v>6999.697710060711</v>
      </c>
      <c r="I206" s="88">
        <f t="shared" si="46"/>
        <v>7314.3896229619468</v>
      </c>
      <c r="J206" s="88">
        <f t="shared" si="46"/>
        <v>7639.4087674018856</v>
      </c>
      <c r="K206" s="88">
        <f t="shared" si="46"/>
        <v>7974.8433013006306</v>
      </c>
      <c r="P206" s="269"/>
    </row>
    <row r="207" spans="1:16">
      <c r="A207" s="6" t="s">
        <v>98</v>
      </c>
      <c r="B207" s="88">
        <f>SUM(B192:B206)</f>
        <v>527133.12310469057</v>
      </c>
      <c r="C207" s="88">
        <f t="shared" ref="C207:K207" si="47">SUM(C192:C206)</f>
        <v>553860.30137207732</v>
      </c>
      <c r="D207" s="88">
        <f t="shared" si="47"/>
        <v>581463.43777612236</v>
      </c>
      <c r="E207" s="88">
        <f t="shared" si="47"/>
        <v>611583.05337962066</v>
      </c>
      <c r="F207" s="88">
        <f t="shared" si="47"/>
        <v>643552.77415438206</v>
      </c>
      <c r="G207" s="88">
        <f t="shared" si="47"/>
        <v>676602.32467592543</v>
      </c>
      <c r="H207" s="88">
        <f t="shared" si="47"/>
        <v>711199.54477850802</v>
      </c>
      <c r="I207" s="88">
        <f t="shared" si="47"/>
        <v>747932.5747203572</v>
      </c>
      <c r="J207" s="88">
        <f t="shared" si="47"/>
        <v>786587.40255665593</v>
      </c>
      <c r="K207" s="88">
        <f t="shared" si="47"/>
        <v>827265.54945649952</v>
      </c>
      <c r="L207" s="56">
        <f>(B207-B190)/$B$19</f>
        <v>0</v>
      </c>
      <c r="M207" s="56">
        <f>(K207-K190)/$K$19</f>
        <v>-4.3776774255916862E-2</v>
      </c>
      <c r="P207" s="269"/>
    </row>
    <row r="208" spans="1:16" s="287" customFormat="1">
      <c r="A208" s="287" t="s">
        <v>98</v>
      </c>
      <c r="K208" s="288">
        <f>K207/K19-1</f>
        <v>-2.722669689812196E-2</v>
      </c>
      <c r="L208" s="301">
        <f>L173+L207</f>
        <v>-2.9828886346428107E-2</v>
      </c>
      <c r="M208" s="301">
        <f>M173+M207</f>
        <v>-7.6564688062505673E-2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8"/>
  <sheetViews>
    <sheetView workbookViewId="0">
      <selection activeCell="D7" sqref="D7"/>
    </sheetView>
  </sheetViews>
  <sheetFormatPr defaultColWidth="8.81640625" defaultRowHeight="14.5"/>
  <cols>
    <col min="1" max="1" width="63.453125" bestFit="1" customWidth="1"/>
    <col min="2" max="2" width="19" bestFit="1" customWidth="1"/>
    <col min="3" max="11" width="10" bestFit="1" customWidth="1"/>
    <col min="12" max="13" width="11.7265625" style="56" bestFit="1" customWidth="1"/>
    <col min="14" max="14" width="15.81640625" customWidth="1"/>
    <col min="15" max="15" width="11.1796875" customWidth="1"/>
    <col min="16" max="16" width="12.453125" customWidth="1"/>
  </cols>
  <sheetData>
    <row r="1" spans="1:14">
      <c r="A1" s="313" t="s">
        <v>363</v>
      </c>
    </row>
    <row r="2" spans="1:14">
      <c r="A2" s="7" t="s">
        <v>313</v>
      </c>
      <c r="L2" s="56" t="s">
        <v>343</v>
      </c>
      <c r="M2" s="56" t="s">
        <v>344</v>
      </c>
      <c r="N2" t="s">
        <v>316</v>
      </c>
    </row>
    <row r="3" spans="1:14">
      <c r="B3">
        <v>2022</v>
      </c>
      <c r="C3">
        <v>2023</v>
      </c>
      <c r="D3">
        <v>2024</v>
      </c>
      <c r="E3">
        <v>2025</v>
      </c>
      <c r="F3">
        <v>2026</v>
      </c>
      <c r="G3">
        <v>2027</v>
      </c>
      <c r="H3">
        <v>2028</v>
      </c>
      <c r="I3">
        <v>2029</v>
      </c>
      <c r="J3">
        <v>2030</v>
      </c>
      <c r="K3">
        <v>2031</v>
      </c>
    </row>
    <row r="4" spans="1:14">
      <c r="A4" t="s">
        <v>4</v>
      </c>
      <c r="B4" s="13">
        <f>Baseline!J22</f>
        <v>159625.36908519344</v>
      </c>
      <c r="C4" s="13">
        <f>Baseline!K22</f>
        <v>169100.1431667142</v>
      </c>
      <c r="D4" s="13">
        <f>Baseline!L22</f>
        <v>178939.90936046341</v>
      </c>
      <c r="E4" s="13">
        <f>Baseline!M22</f>
        <v>189760.97312036945</v>
      </c>
      <c r="F4" s="13">
        <f>Baseline!N22</f>
        <v>201849.14932877882</v>
      </c>
      <c r="G4" s="13">
        <f>Baseline!O22</f>
        <v>213826.17371437998</v>
      </c>
      <c r="H4" s="13">
        <f>Baseline!P22</f>
        <v>226510.70725230203</v>
      </c>
      <c r="I4" s="13">
        <f>Baseline!Q22</f>
        <v>240226.25472700177</v>
      </c>
      <c r="J4" s="13">
        <f>Baseline!R22</f>
        <v>254772.24100852068</v>
      </c>
      <c r="K4" s="13">
        <f>Baseline!S22</f>
        <v>270198.93990744982</v>
      </c>
    </row>
    <row r="5" spans="1:14">
      <c r="A5" t="s">
        <v>5</v>
      </c>
      <c r="B5" s="13">
        <f>Baseline!J23</f>
        <v>116050.8649671637</v>
      </c>
      <c r="C5" s="13">
        <f>Baseline!K23</f>
        <v>122474.8573007146</v>
      </c>
      <c r="D5" s="13">
        <f>Baseline!L23</f>
        <v>129234.05509279952</v>
      </c>
      <c r="E5" s="13">
        <f>Baseline!M23</f>
        <v>136790.66473443585</v>
      </c>
      <c r="F5" s="13">
        <f>Baseline!N23</f>
        <v>144409.47189377464</v>
      </c>
      <c r="G5" s="13">
        <f>Baseline!O23</f>
        <v>152544.86011450438</v>
      </c>
      <c r="H5" s="13">
        <f>Baseline!P23</f>
        <v>161136.30794560839</v>
      </c>
      <c r="I5" s="13">
        <f>Baseline!Q23</f>
        <v>170141.21787946645</v>
      </c>
      <c r="J5" s="13">
        <f>Baseline!R23</f>
        <v>179649.31609143686</v>
      </c>
      <c r="K5" s="13">
        <f>Baseline!S23</f>
        <v>189688.71567750094</v>
      </c>
    </row>
    <row r="6" spans="1:14">
      <c r="A6" t="s">
        <v>6</v>
      </c>
      <c r="B6" s="13">
        <f>Baseline!J24</f>
        <v>13214.904741473663</v>
      </c>
      <c r="C6" s="13">
        <f>Baseline!K24</f>
        <v>13946.4154180365</v>
      </c>
      <c r="D6" s="13">
        <f>Baseline!L24</f>
        <v>14716.09649690183</v>
      </c>
      <c r="E6" s="13">
        <f>Baseline!M24</f>
        <v>15517.689525153992</v>
      </c>
      <c r="F6" s="13">
        <f>Baseline!N24</f>
        <v>16366.447787771269</v>
      </c>
      <c r="G6" s="13">
        <f>Baseline!O24</f>
        <v>17272.089112584275</v>
      </c>
      <c r="H6" s="13">
        <f>Baseline!P24</f>
        <v>18210.312234652982</v>
      </c>
      <c r="I6" s="13">
        <f>Baseline!Q24</f>
        <v>19203.688353271264</v>
      </c>
      <c r="J6" s="13">
        <f>Baseline!R24</f>
        <v>20251.248786461161</v>
      </c>
      <c r="K6" s="13">
        <f>Baseline!S24</f>
        <v>21355.948524973879</v>
      </c>
    </row>
    <row r="7" spans="1:14">
      <c r="A7" t="s">
        <v>7</v>
      </c>
      <c r="B7" s="13">
        <f>Baseline!J25</f>
        <v>20748.242731869101</v>
      </c>
      <c r="C7" s="13">
        <f>Baseline!K25</f>
        <v>21668.453656984439</v>
      </c>
      <c r="D7" s="13">
        <f>Baseline!L25</f>
        <v>22625.906506454136</v>
      </c>
      <c r="E7" s="13">
        <f>Baseline!M25</f>
        <v>23631.990719503716</v>
      </c>
      <c r="F7" s="13">
        <f>Baseline!N25</f>
        <v>24688.094222345684</v>
      </c>
      <c r="G7" s="13">
        <f>Baseline!O25</f>
        <v>25757.864583768816</v>
      </c>
      <c r="H7" s="13">
        <f>Baseline!P25</f>
        <v>26873.614038626438</v>
      </c>
      <c r="I7" s="13">
        <f>Baseline!Q25</f>
        <v>28043.904418972677</v>
      </c>
      <c r="J7" s="13">
        <f>Baseline!R25</f>
        <v>29265.15195518715</v>
      </c>
      <c r="K7" s="13">
        <f>Baseline!S25</f>
        <v>30539.574756058875</v>
      </c>
    </row>
    <row r="8" spans="1:14">
      <c r="A8" t="s">
        <v>8</v>
      </c>
      <c r="B8" s="13">
        <f>Baseline!J26</f>
        <v>28689.635954420595</v>
      </c>
      <c r="C8" s="13">
        <f>Baseline!K26</f>
        <v>30335.148515759727</v>
      </c>
      <c r="D8" s="13">
        <f>Baseline!L26</f>
        <v>31948.617271280385</v>
      </c>
      <c r="E8" s="13">
        <f>Baseline!M26</f>
        <v>33784.762834506182</v>
      </c>
      <c r="F8" s="13">
        <f>Baseline!N26</f>
        <v>35734.081370261993</v>
      </c>
      <c r="G8" s="13">
        <f>Baseline!O26</f>
        <v>37782.926230403427</v>
      </c>
      <c r="H8" s="13">
        <f>Baseline!P26</f>
        <v>39910.890682114885</v>
      </c>
      <c r="I8" s="13">
        <f>Baseline!Q26</f>
        <v>42181.182194971159</v>
      </c>
      <c r="J8" s="13">
        <f>Baseline!R26</f>
        <v>44580.606980834782</v>
      </c>
      <c r="K8" s="13">
        <f>Baseline!S26</f>
        <v>47116.508905555907</v>
      </c>
    </row>
    <row r="9" spans="1:14">
      <c r="A9" t="s">
        <v>9</v>
      </c>
      <c r="B9" s="13">
        <f>Baseline!J27</f>
        <v>18574.742866293738</v>
      </c>
      <c r="C9" s="13">
        <f>Baseline!K27</f>
        <v>19918.824104792944</v>
      </c>
      <c r="D9" s="13">
        <f>Baseline!L27</f>
        <v>21316.948906552647</v>
      </c>
      <c r="E9" s="13">
        <f>Baseline!M27</f>
        <v>22840.643515518419</v>
      </c>
      <c r="F9" s="13">
        <f>Baseline!N27</f>
        <v>24455.631030424964</v>
      </c>
      <c r="G9" s="13">
        <f>Baseline!O27</f>
        <v>26224.767091935781</v>
      </c>
      <c r="H9" s="13">
        <f>Baseline!P27</f>
        <v>28121.490569323119</v>
      </c>
      <c r="I9" s="13">
        <f>Baseline!Q27</f>
        <v>30133.687089869396</v>
      </c>
      <c r="J9" s="13">
        <f>Baseline!R27</f>
        <v>32289.856451626969</v>
      </c>
      <c r="K9" s="13">
        <f>Baseline!S27</f>
        <v>34600.298954835205</v>
      </c>
    </row>
    <row r="10" spans="1:14">
      <c r="A10" t="s">
        <v>10</v>
      </c>
      <c r="B10" s="13">
        <f>Baseline!J28</f>
        <v>19314.903208446871</v>
      </c>
      <c r="C10" s="13">
        <f>Baseline!K28</f>
        <v>20248.829312751863</v>
      </c>
      <c r="D10" s="13">
        <f>Baseline!L28</f>
        <v>21163.806395663054</v>
      </c>
      <c r="E10" s="13">
        <f>Baseline!M28</f>
        <v>22126.050076564541</v>
      </c>
      <c r="F10" s="13">
        <f>Baseline!N28</f>
        <v>23181.275733174672</v>
      </c>
      <c r="G10" s="13">
        <f>Baseline!O28</f>
        <v>24324.88535007407</v>
      </c>
      <c r="H10" s="13">
        <f>Baseline!P28</f>
        <v>25597.553137678322</v>
      </c>
      <c r="I10" s="13">
        <f>Baseline!Q28</f>
        <v>26865.890611128772</v>
      </c>
      <c r="J10" s="13">
        <f>Baseline!R28</f>
        <v>28197.066818839965</v>
      </c>
      <c r="K10" s="13">
        <f>Baseline!S28</f>
        <v>29594.194354944852</v>
      </c>
    </row>
    <row r="11" spans="1:14">
      <c r="A11" t="s">
        <v>18</v>
      </c>
      <c r="B11" s="13">
        <f>Baseline!J29</f>
        <v>43283.768889341547</v>
      </c>
      <c r="C11" s="13">
        <f>Baseline!K29</f>
        <v>45809.635683843742</v>
      </c>
      <c r="D11" s="13">
        <f>Baseline!L29</f>
        <v>48521.06984137556</v>
      </c>
      <c r="E11" s="13">
        <f>Baseline!M29</f>
        <v>51358.207342961832</v>
      </c>
      <c r="F11" s="13">
        <f>Baseline!N29</f>
        <v>54475.65762096009</v>
      </c>
      <c r="G11" s="13">
        <f>Baseline!O29</f>
        <v>57762.546077953564</v>
      </c>
      <c r="H11" s="13">
        <f>Baseline!P29</f>
        <v>61189.118888166522</v>
      </c>
      <c r="I11" s="13">
        <f>Baseline!Q29</f>
        <v>64853.406465689412</v>
      </c>
      <c r="J11" s="13">
        <f>Baseline!R29</f>
        <v>68737.11310099042</v>
      </c>
      <c r="K11" s="13">
        <f>Baseline!S29</f>
        <v>72853.375825008727</v>
      </c>
    </row>
    <row r="12" spans="1:14">
      <c r="A12" t="s">
        <v>16</v>
      </c>
      <c r="B12" s="13">
        <f>Baseline!J30</f>
        <v>9637.1769998811087</v>
      </c>
      <c r="C12" s="13">
        <f>Baseline!K30</f>
        <v>10083.87888270471</v>
      </c>
      <c r="D12" s="13">
        <f>Baseline!L30</f>
        <v>10559.707107985336</v>
      </c>
      <c r="E12" s="13">
        <f>Baseline!M30</f>
        <v>11060.948612131126</v>
      </c>
      <c r="F12" s="13">
        <f>Baseline!N30</f>
        <v>11588.462412451476</v>
      </c>
      <c r="G12" s="13">
        <f>Baseline!O30</f>
        <v>12148.56775369268</v>
      </c>
      <c r="H12" s="13">
        <f>Baseline!P30</f>
        <v>12735.566684289943</v>
      </c>
      <c r="I12" s="13">
        <f>Baseline!Q30</f>
        <v>13345.373113401587</v>
      </c>
      <c r="J12" s="13">
        <f>Baseline!R30</f>
        <v>13984.375250099914</v>
      </c>
      <c r="K12" s="13">
        <f>Baseline!S30</f>
        <v>14653.970556324568</v>
      </c>
    </row>
    <row r="13" spans="1:14">
      <c r="A13" t="s">
        <v>11</v>
      </c>
      <c r="B13" s="13">
        <f>Baseline!J31</f>
        <v>5567.7527166346454</v>
      </c>
      <c r="C13" s="13">
        <f>Baseline!K31</f>
        <v>5898.23401440212</v>
      </c>
      <c r="D13" s="13">
        <f>Baseline!L31</f>
        <v>6247.34557001762</v>
      </c>
      <c r="E13" s="13">
        <f>Baseline!M31</f>
        <v>6618.8922334431563</v>
      </c>
      <c r="F13" s="13">
        <f>Baseline!N31</f>
        <v>7014.036641982756</v>
      </c>
      <c r="G13" s="13">
        <f>Baseline!O31</f>
        <v>7444.2576392729952</v>
      </c>
      <c r="H13" s="13">
        <f>Baseline!P31</f>
        <v>7863.524149472707</v>
      </c>
      <c r="I13" s="13">
        <f>Baseline!Q31</f>
        <v>8326.5632206017526</v>
      </c>
      <c r="J13" s="13">
        <f>Baseline!R31</f>
        <v>8816.8660993801132</v>
      </c>
      <c r="K13" s="13">
        <f>Baseline!S31</f>
        <v>9336.0378445872284</v>
      </c>
    </row>
    <row r="14" spans="1:14">
      <c r="A14" t="s">
        <v>13</v>
      </c>
      <c r="B14" s="17">
        <f>Baseline!J35</f>
        <v>13015.934321462773</v>
      </c>
      <c r="C14" s="17">
        <f>Baseline!K35</f>
        <v>13476.024721270978</v>
      </c>
      <c r="D14" s="17">
        <f>Baseline!L35</f>
        <v>13923.220163679234</v>
      </c>
      <c r="E14" s="17">
        <f>Baseline!M35</f>
        <v>14458.753862211928</v>
      </c>
      <c r="F14" s="17">
        <f>Baseline!N35</f>
        <v>15047.036138730071</v>
      </c>
      <c r="G14" s="17">
        <f>Baseline!O35</f>
        <v>15608.734786912868</v>
      </c>
      <c r="H14" s="17">
        <f>Baseline!P35</f>
        <v>16159.948137089295</v>
      </c>
      <c r="I14" s="17">
        <f>Baseline!Q35</f>
        <v>16766.700865673727</v>
      </c>
      <c r="J14" s="17">
        <f>Baseline!R35</f>
        <v>17396.231249972214</v>
      </c>
      <c r="K14" s="17">
        <f>Baseline!S35</f>
        <v>18049.393987394586</v>
      </c>
      <c r="L14" s="299"/>
    </row>
    <row r="15" spans="1:14">
      <c r="A15" s="6" t="s">
        <v>71</v>
      </c>
      <c r="B15" s="17">
        <f>Baseline!J36</f>
        <v>28791.565066927964</v>
      </c>
      <c r="C15" s="17">
        <f>Baseline!K36</f>
        <v>30298.917575967578</v>
      </c>
      <c r="D15" s="17">
        <f>Baseline!L36</f>
        <v>31880.154947029732</v>
      </c>
      <c r="E15" s="17">
        <f>Baseline!M36</f>
        <v>33584.788311616554</v>
      </c>
      <c r="F15" s="17">
        <f>Baseline!N36</f>
        <v>35388.140800757341</v>
      </c>
      <c r="G15" s="17">
        <f>Baseline!O36</f>
        <v>37275.55331184082</v>
      </c>
      <c r="H15" s="17">
        <f>Baseline!P36</f>
        <v>39225.794609276592</v>
      </c>
      <c r="I15" s="17">
        <f>Baseline!Q36</f>
        <v>41300.179658613044</v>
      </c>
      <c r="J15" s="17">
        <f>Baseline!R36</f>
        <v>43484.255035020928</v>
      </c>
      <c r="K15" s="17">
        <f>Baseline!S36</f>
        <v>45783.819883571348</v>
      </c>
      <c r="L15" s="299"/>
    </row>
    <row r="16" spans="1:14">
      <c r="A16" s="6" t="s">
        <v>166</v>
      </c>
      <c r="B16" s="281">
        <f>Baseline!J32</f>
        <v>40491.407184044234</v>
      </c>
      <c r="C16" s="281">
        <f>Baseline!K32</f>
        <v>42831.099166405227</v>
      </c>
      <c r="D16" s="281">
        <f>Baseline!L32</f>
        <v>45221.211699974061</v>
      </c>
      <c r="E16" s="281">
        <f>Baseline!M32</f>
        <v>47776.124905161938</v>
      </c>
      <c r="F16" s="281">
        <f>Baseline!N32</f>
        <v>50517.397285653293</v>
      </c>
      <c r="G16" s="281">
        <f>Baseline!O32</f>
        <v>53438.999426354909</v>
      </c>
      <c r="H16" s="281">
        <f>Baseline!P32</f>
        <v>56442.84598766367</v>
      </c>
      <c r="I16" s="281">
        <f>Baseline!Q32</f>
        <v>59657.080290029167</v>
      </c>
      <c r="J16" s="281">
        <f>Baseline!R32</f>
        <v>63055.54965748133</v>
      </c>
      <c r="K16" s="281">
        <f>Baseline!S32</f>
        <v>66648.888814944497</v>
      </c>
      <c r="L16" s="300"/>
      <c r="N16" s="269">
        <f>K16/(SUM(K4:K13)+K16)</f>
        <v>8.4731803434529504E-2</v>
      </c>
    </row>
    <row r="17" spans="1:11">
      <c r="A17" s="212" t="s">
        <v>218</v>
      </c>
      <c r="B17" s="13">
        <v>0</v>
      </c>
      <c r="C17" s="13">
        <v>0</v>
      </c>
      <c r="D17" s="13">
        <v>0</v>
      </c>
      <c r="E17" s="13">
        <v>0</v>
      </c>
      <c r="F17" s="13">
        <v>0</v>
      </c>
      <c r="G17" s="13">
        <v>0</v>
      </c>
      <c r="H17" s="13">
        <v>0</v>
      </c>
      <c r="I17" s="13">
        <v>0</v>
      </c>
      <c r="J17" s="13">
        <v>0</v>
      </c>
      <c r="K17" s="13">
        <v>0</v>
      </c>
    </row>
    <row r="18" spans="1:11">
      <c r="A18" s="211" t="s">
        <v>276</v>
      </c>
      <c r="B18" s="13">
        <v>0</v>
      </c>
      <c r="C18" s="13">
        <v>0</v>
      </c>
      <c r="D18" s="13">
        <v>0</v>
      </c>
      <c r="E18" s="13">
        <v>0</v>
      </c>
      <c r="F18" s="13">
        <v>0</v>
      </c>
      <c r="G18" s="13">
        <v>0</v>
      </c>
      <c r="H18" s="13">
        <v>0</v>
      </c>
      <c r="I18" s="13">
        <v>0</v>
      </c>
      <c r="J18" s="13">
        <v>0</v>
      </c>
      <c r="K18" s="13">
        <v>0</v>
      </c>
    </row>
    <row r="19" spans="1:11">
      <c r="A19" s="6" t="s">
        <v>98</v>
      </c>
      <c r="B19" s="13">
        <f>SUM(B4:B18)</f>
        <v>517006.26873315347</v>
      </c>
      <c r="C19" s="13">
        <f t="shared" ref="C19:K19" si="0">SUM(C4:C18)</f>
        <v>546090.46152034868</v>
      </c>
      <c r="D19" s="13">
        <f t="shared" si="0"/>
        <v>576298.04936017655</v>
      </c>
      <c r="E19" s="13">
        <f t="shared" si="0"/>
        <v>609310.48979357863</v>
      </c>
      <c r="F19" s="13">
        <f t="shared" si="0"/>
        <v>644714.88226706709</v>
      </c>
      <c r="G19" s="13">
        <f t="shared" si="0"/>
        <v>681412.22519367852</v>
      </c>
      <c r="H19" s="13">
        <f t="shared" si="0"/>
        <v>719977.67431626492</v>
      </c>
      <c r="I19" s="13">
        <f t="shared" si="0"/>
        <v>761045.12888869026</v>
      </c>
      <c r="J19" s="13">
        <f t="shared" si="0"/>
        <v>804479.8784858525</v>
      </c>
      <c r="K19" s="13">
        <f t="shared" si="0"/>
        <v>850419.66799315054</v>
      </c>
    </row>
    <row r="20" spans="1:11">
      <c r="A20" s="210" t="s">
        <v>340</v>
      </c>
    </row>
    <row r="21" spans="1:11">
      <c r="A21" t="s">
        <v>4</v>
      </c>
      <c r="B21" s="88">
        <f>B4*UF_Assumptions_1!$B4</f>
        <v>160982.18472241759</v>
      </c>
      <c r="C21" s="88">
        <f>C4*UF_Assumptions_1!$B4</f>
        <v>170537.49438363127</v>
      </c>
      <c r="D21" s="88">
        <f>D4*UF_Assumptions_1!$B4</f>
        <v>180460.89859002735</v>
      </c>
      <c r="E21" s="88">
        <f>E4*UF_Assumptions_1!$B4</f>
        <v>191373.94139189259</v>
      </c>
      <c r="F21" s="88">
        <f>F4*UF_Assumptions_1!$B4</f>
        <v>203564.86709807342</v>
      </c>
      <c r="G21" s="88">
        <f>G4*UF_Assumptions_1!$B4</f>
        <v>215643.69619095221</v>
      </c>
      <c r="H21" s="88">
        <f>H4*UF_Assumptions_1!$B4</f>
        <v>228436.04826394658</v>
      </c>
      <c r="I21" s="88">
        <f>I4*UF_Assumptions_1!$B4</f>
        <v>242268.17789218127</v>
      </c>
      <c r="J21" s="88">
        <f>J4*UF_Assumptions_1!$B4</f>
        <v>256937.80505709309</v>
      </c>
      <c r="K21" s="88">
        <f>K4*UF_Assumptions_1!$B4</f>
        <v>272495.63089666312</v>
      </c>
    </row>
    <row r="22" spans="1:11">
      <c r="A22" t="s">
        <v>5</v>
      </c>
      <c r="B22" s="88">
        <f>B5*UF_Assumptions_1!$B5</f>
        <v>118023.72967160547</v>
      </c>
      <c r="C22" s="88">
        <f>C5*UF_Assumptions_1!$B5</f>
        <v>124556.92987482675</v>
      </c>
      <c r="D22" s="88">
        <f>D5*UF_Assumptions_1!$B5</f>
        <v>131431.0340293771</v>
      </c>
      <c r="E22" s="88">
        <f>E5*UF_Assumptions_1!$B5</f>
        <v>139116.10603492125</v>
      </c>
      <c r="F22" s="88">
        <f>F5*UF_Assumptions_1!$B5</f>
        <v>146864.43291596879</v>
      </c>
      <c r="G22" s="88">
        <f>G5*UF_Assumptions_1!$B5</f>
        <v>155138.12273645093</v>
      </c>
      <c r="H22" s="88">
        <f>H5*UF_Assumptions_1!$B5</f>
        <v>163875.62518068371</v>
      </c>
      <c r="I22" s="88">
        <f>I5*UF_Assumptions_1!$B5</f>
        <v>173033.61858341735</v>
      </c>
      <c r="J22" s="88">
        <f>J5*UF_Assumptions_1!$B5</f>
        <v>182703.35446499128</v>
      </c>
      <c r="K22" s="88">
        <f>K5*UF_Assumptions_1!$B5</f>
        <v>192913.42384401843</v>
      </c>
    </row>
    <row r="23" spans="1:11">
      <c r="A23" t="s">
        <v>6</v>
      </c>
      <c r="B23" s="88">
        <f>B6*UF_Assumptions_1!$B6</f>
        <v>13439.558122078713</v>
      </c>
      <c r="C23" s="88">
        <f>C6*UF_Assumptions_1!$B6</f>
        <v>14183.50448014312</v>
      </c>
      <c r="D23" s="88">
        <f>D6*UF_Assumptions_1!$B6</f>
        <v>14966.27013734916</v>
      </c>
      <c r="E23" s="88">
        <f>E6*UF_Assumptions_1!$B6</f>
        <v>15781.490247081609</v>
      </c>
      <c r="F23" s="88">
        <f>F6*UF_Assumptions_1!$B6</f>
        <v>16644.677400163378</v>
      </c>
      <c r="G23" s="88">
        <f>G6*UF_Assumptions_1!$B6</f>
        <v>17565.714627498208</v>
      </c>
      <c r="H23" s="88">
        <f>H6*UF_Assumptions_1!$B6</f>
        <v>18519.887542642082</v>
      </c>
      <c r="I23" s="88">
        <f>I6*UF_Assumptions_1!$B6</f>
        <v>19530.151055276874</v>
      </c>
      <c r="J23" s="88">
        <f>J6*UF_Assumptions_1!$B6</f>
        <v>20595.520015831</v>
      </c>
      <c r="K23" s="88">
        <f>K6*UF_Assumptions_1!$B6</f>
        <v>21718.999649898433</v>
      </c>
    </row>
    <row r="24" spans="1:11">
      <c r="A24" t="s">
        <v>7</v>
      </c>
      <c r="B24" s="88">
        <f>B7*UF_Assumptions_1!$B7</f>
        <v>21100.962858310875</v>
      </c>
      <c r="C24" s="88">
        <f>C7*UF_Assumptions_1!$B7</f>
        <v>22036.81736915317</v>
      </c>
      <c r="D24" s="88">
        <f>D7*UF_Assumptions_1!$B7</f>
        <v>23010.546917063853</v>
      </c>
      <c r="E24" s="88">
        <f>E7*UF_Assumptions_1!$B7</f>
        <v>24033.734561735277</v>
      </c>
      <c r="F24" s="88">
        <f>F7*UF_Assumptions_1!$B7</f>
        <v>25107.791824125557</v>
      </c>
      <c r="G24" s="88">
        <f>G7*UF_Assumptions_1!$B7</f>
        <v>26195.748281692882</v>
      </c>
      <c r="H24" s="88">
        <f>H7*UF_Assumptions_1!$B7</f>
        <v>27330.465477283084</v>
      </c>
      <c r="I24" s="88">
        <f>I7*UF_Assumptions_1!$B7</f>
        <v>28520.650794095211</v>
      </c>
      <c r="J24" s="88">
        <f>J7*UF_Assumptions_1!$B7</f>
        <v>29762.659538425327</v>
      </c>
      <c r="K24" s="88">
        <f>K7*UF_Assumptions_1!$B7</f>
        <v>31058.747526911873</v>
      </c>
    </row>
    <row r="25" spans="1:11">
      <c r="A25" t="s">
        <v>8</v>
      </c>
      <c r="B25" s="88">
        <f>B8*UF_Assumptions_1!$B8</f>
        <v>28689.635954420595</v>
      </c>
      <c r="C25" s="88">
        <f>C8*UF_Assumptions_1!$B8</f>
        <v>30335.148515759727</v>
      </c>
      <c r="D25" s="88">
        <f>D8*UF_Assumptions_1!$B8</f>
        <v>31948.617271280385</v>
      </c>
      <c r="E25" s="88">
        <f>E8*UF_Assumptions_1!$B8</f>
        <v>33784.762834506182</v>
      </c>
      <c r="F25" s="88">
        <f>F8*UF_Assumptions_1!$B8</f>
        <v>35734.081370261993</v>
      </c>
      <c r="G25" s="88">
        <f>G8*UF_Assumptions_1!$B8</f>
        <v>37782.926230403427</v>
      </c>
      <c r="H25" s="88">
        <f>H8*UF_Assumptions_1!$B8</f>
        <v>39910.890682114885</v>
      </c>
      <c r="I25" s="88">
        <f>I8*UF_Assumptions_1!$B8</f>
        <v>42181.182194971159</v>
      </c>
      <c r="J25" s="88">
        <f>J8*UF_Assumptions_1!$B8</f>
        <v>44580.606980834782</v>
      </c>
      <c r="K25" s="88">
        <f>K8*UF_Assumptions_1!$B8</f>
        <v>47116.508905555907</v>
      </c>
    </row>
    <row r="26" spans="1:11">
      <c r="A26" t="s">
        <v>9</v>
      </c>
      <c r="B26" s="88">
        <f>B9*UF_Assumptions_1!$B9</f>
        <v>18890.513495020728</v>
      </c>
      <c r="C26" s="88">
        <f>C9*UF_Assumptions_1!$B9</f>
        <v>20257.444114574424</v>
      </c>
      <c r="D26" s="88">
        <f>D9*UF_Assumptions_1!$B9</f>
        <v>21679.33703796404</v>
      </c>
      <c r="E26" s="88">
        <f>E9*UF_Assumptions_1!$B9</f>
        <v>23228.934455282229</v>
      </c>
      <c r="F26" s="88">
        <f>F9*UF_Assumptions_1!$B9</f>
        <v>24871.376757942187</v>
      </c>
      <c r="G26" s="88">
        <f>G9*UF_Assumptions_1!$B9</f>
        <v>26670.588132498688</v>
      </c>
      <c r="H26" s="88">
        <f>H9*UF_Assumptions_1!$B9</f>
        <v>28599.55590900161</v>
      </c>
      <c r="I26" s="88">
        <f>I9*UF_Assumptions_1!$B9</f>
        <v>30645.959770397174</v>
      </c>
      <c r="J26" s="88">
        <f>J9*UF_Assumptions_1!$B9</f>
        <v>32838.784011304626</v>
      </c>
      <c r="K26" s="88">
        <f>K9*UF_Assumptions_1!$B9</f>
        <v>35188.504037067403</v>
      </c>
    </row>
    <row r="27" spans="1:11">
      <c r="A27" t="s">
        <v>10</v>
      </c>
      <c r="B27" s="88">
        <f>B10*UF_Assumptions_1!$B10</f>
        <v>19314.903208446871</v>
      </c>
      <c r="C27" s="88">
        <f>C10*UF_Assumptions_1!$B10</f>
        <v>20248.829312751863</v>
      </c>
      <c r="D27" s="88">
        <f>D10*UF_Assumptions_1!$B10</f>
        <v>21163.806395663054</v>
      </c>
      <c r="E27" s="88">
        <f>E10*UF_Assumptions_1!$B10</f>
        <v>22126.050076564541</v>
      </c>
      <c r="F27" s="88">
        <f>F10*UF_Assumptions_1!$B10</f>
        <v>23181.275733174672</v>
      </c>
      <c r="G27" s="88">
        <f>G10*UF_Assumptions_1!$B10</f>
        <v>24324.88535007407</v>
      </c>
      <c r="H27" s="88">
        <f>H10*UF_Assumptions_1!$B10</f>
        <v>25597.553137678322</v>
      </c>
      <c r="I27" s="88">
        <f>I10*UF_Assumptions_1!$B10</f>
        <v>26865.890611128772</v>
      </c>
      <c r="J27" s="88">
        <f>J10*UF_Assumptions_1!$B10</f>
        <v>28197.066818839965</v>
      </c>
      <c r="K27" s="88">
        <f>K10*UF_Assumptions_1!$B10</f>
        <v>29594.194354944852</v>
      </c>
    </row>
    <row r="28" spans="1:11">
      <c r="A28" t="s">
        <v>18</v>
      </c>
      <c r="B28" s="88">
        <f>B11*UF_Assumptions_1!$B11</f>
        <v>44019.592960460352</v>
      </c>
      <c r="C28" s="88">
        <f>C11*UF_Assumptions_1!$B11</f>
        <v>46588.399490469084</v>
      </c>
      <c r="D28" s="88">
        <f>D11*UF_Assumptions_1!$B11</f>
        <v>49345.928028678936</v>
      </c>
      <c r="E28" s="88">
        <f>E11*UF_Assumptions_1!$B11</f>
        <v>52231.296867792182</v>
      </c>
      <c r="F28" s="88">
        <f>F11*UF_Assumptions_1!$B11</f>
        <v>55401.743800516408</v>
      </c>
      <c r="G28" s="88">
        <f>G11*UF_Assumptions_1!$B11</f>
        <v>58744.509361278768</v>
      </c>
      <c r="H28" s="88">
        <f>H11*UF_Assumptions_1!$B11</f>
        <v>62229.333909265348</v>
      </c>
      <c r="I28" s="88">
        <f>I11*UF_Assumptions_1!$B11</f>
        <v>65955.914375606124</v>
      </c>
      <c r="J28" s="88">
        <f>J11*UF_Assumptions_1!$B11</f>
        <v>69905.644023707253</v>
      </c>
      <c r="K28" s="88">
        <f>K11*UF_Assumptions_1!$B11</f>
        <v>74091.883214033864</v>
      </c>
    </row>
    <row r="29" spans="1:11">
      <c r="A29" t="s">
        <v>16</v>
      </c>
      <c r="B29" s="88">
        <f>B12*UF_Assumptions_1!$B12</f>
        <v>9637.1769998811087</v>
      </c>
      <c r="C29" s="88">
        <f>C12*UF_Assumptions_1!$B12</f>
        <v>10083.87888270471</v>
      </c>
      <c r="D29" s="88">
        <f>D12*UF_Assumptions_1!$B12</f>
        <v>10559.707107985336</v>
      </c>
      <c r="E29" s="88">
        <f>E12*UF_Assumptions_1!$B12</f>
        <v>11060.948612131126</v>
      </c>
      <c r="F29" s="88">
        <f>F12*UF_Assumptions_1!$B12</f>
        <v>11588.462412451476</v>
      </c>
      <c r="G29" s="88">
        <f>G12*UF_Assumptions_1!$B12</f>
        <v>12148.56775369268</v>
      </c>
      <c r="H29" s="88">
        <f>H12*UF_Assumptions_1!$B12</f>
        <v>12735.566684289943</v>
      </c>
      <c r="I29" s="88">
        <f>I12*UF_Assumptions_1!$B12</f>
        <v>13345.373113401587</v>
      </c>
      <c r="J29" s="88">
        <f>J12*UF_Assumptions_1!$B12</f>
        <v>13984.375250099914</v>
      </c>
      <c r="K29" s="88">
        <f>K12*UF_Assumptions_1!$B12</f>
        <v>14653.970556324568</v>
      </c>
    </row>
    <row r="30" spans="1:11">
      <c r="A30" t="s">
        <v>11</v>
      </c>
      <c r="B30" s="88">
        <f>B13*UF_Assumptions_1!$B13</f>
        <v>5662.4045128174339</v>
      </c>
      <c r="C30" s="88">
        <f>C13*UF_Assumptions_1!$B13</f>
        <v>5998.5039926469553</v>
      </c>
      <c r="D30" s="88">
        <f>D13*UF_Assumptions_1!$B13</f>
        <v>6353.5504447079193</v>
      </c>
      <c r="E30" s="88">
        <f>E13*UF_Assumptions_1!$B13</f>
        <v>6731.4134014116889</v>
      </c>
      <c r="F30" s="88">
        <f>F13*UF_Assumptions_1!$B13</f>
        <v>7133.2752648964624</v>
      </c>
      <c r="G30" s="88">
        <f>G13*UF_Assumptions_1!$B13</f>
        <v>7570.8100191406356</v>
      </c>
      <c r="H30" s="88">
        <f>H13*UF_Assumptions_1!$B13</f>
        <v>7997.2040600137425</v>
      </c>
      <c r="I30" s="88">
        <f>I13*UF_Assumptions_1!$B13</f>
        <v>8468.1147953519812</v>
      </c>
      <c r="J30" s="88">
        <f>J13*UF_Assumptions_1!$B13</f>
        <v>8966.7528230695734</v>
      </c>
      <c r="K30" s="88">
        <f>K13*UF_Assumptions_1!$B13</f>
        <v>9494.7504879452099</v>
      </c>
    </row>
    <row r="31" spans="1:11">
      <c r="A31" t="s">
        <v>13</v>
      </c>
      <c r="B31" s="88">
        <f>B14</f>
        <v>13015.934321462773</v>
      </c>
      <c r="C31" s="88">
        <f t="shared" ref="C31:K32" si="1">C14</f>
        <v>13476.024721270978</v>
      </c>
      <c r="D31" s="88">
        <f t="shared" si="1"/>
        <v>13923.220163679234</v>
      </c>
      <c r="E31" s="88">
        <f t="shared" si="1"/>
        <v>14458.753862211928</v>
      </c>
      <c r="F31" s="88">
        <f t="shared" si="1"/>
        <v>15047.036138730071</v>
      </c>
      <c r="G31" s="88">
        <f t="shared" si="1"/>
        <v>15608.734786912868</v>
      </c>
      <c r="H31" s="88">
        <f t="shared" si="1"/>
        <v>16159.948137089295</v>
      </c>
      <c r="I31" s="88">
        <f t="shared" si="1"/>
        <v>16766.700865673727</v>
      </c>
      <c r="J31" s="88">
        <f t="shared" si="1"/>
        <v>17396.231249972214</v>
      </c>
      <c r="K31" s="88">
        <f t="shared" si="1"/>
        <v>18049.393987394586</v>
      </c>
    </row>
    <row r="32" spans="1:11">
      <c r="A32" s="6" t="s">
        <v>71</v>
      </c>
      <c r="B32" s="88">
        <f>B15</f>
        <v>28791.565066927964</v>
      </c>
      <c r="C32" s="88">
        <f t="shared" si="1"/>
        <v>30298.917575967578</v>
      </c>
      <c r="D32" s="88">
        <f t="shared" si="1"/>
        <v>31880.154947029732</v>
      </c>
      <c r="E32" s="88">
        <f t="shared" si="1"/>
        <v>33584.788311616554</v>
      </c>
      <c r="F32" s="88">
        <f t="shared" si="1"/>
        <v>35388.140800757341</v>
      </c>
      <c r="G32" s="88">
        <f t="shared" si="1"/>
        <v>37275.55331184082</v>
      </c>
      <c r="H32" s="88">
        <f t="shared" si="1"/>
        <v>39225.794609276592</v>
      </c>
      <c r="I32" s="88">
        <f t="shared" si="1"/>
        <v>41300.179658613044</v>
      </c>
      <c r="J32" s="88">
        <f t="shared" si="1"/>
        <v>43484.255035020928</v>
      </c>
      <c r="K32" s="88">
        <f t="shared" si="1"/>
        <v>45783.819883571348</v>
      </c>
    </row>
    <row r="33" spans="1:16">
      <c r="A33" s="6" t="s">
        <v>166</v>
      </c>
      <c r="B33" s="88">
        <f>B16*(SUM(B21:B30)/SUM(B4:B13))</f>
        <v>40962.103702421904</v>
      </c>
      <c r="C33" s="88">
        <f t="shared" ref="C33:K33" si="2">C16*(SUM(C21:C30)/SUM(C4:C13))</f>
        <v>43329.106144788893</v>
      </c>
      <c r="D33" s="88">
        <f t="shared" si="2"/>
        <v>45747.367643113699</v>
      </c>
      <c r="E33" s="88">
        <f t="shared" si="2"/>
        <v>48332.315534552516</v>
      </c>
      <c r="F33" s="88">
        <f t="shared" si="2"/>
        <v>51105.446106823787</v>
      </c>
      <c r="G33" s="88">
        <f t="shared" si="2"/>
        <v>54061.270587448518</v>
      </c>
      <c r="H33" s="88">
        <f t="shared" si="2"/>
        <v>57100.229584015622</v>
      </c>
      <c r="I33" s="88">
        <f t="shared" si="2"/>
        <v>60352.008631925295</v>
      </c>
      <c r="J33" s="88">
        <f t="shared" si="2"/>
        <v>63790.183008862768</v>
      </c>
      <c r="K33" s="88">
        <f t="shared" si="2"/>
        <v>67425.512741004786</v>
      </c>
      <c r="N33" s="269">
        <f>K33/(SUM(K21:K30)+K33)</f>
        <v>8.4731803434529504E-2</v>
      </c>
    </row>
    <row r="34" spans="1:16">
      <c r="A34" s="212" t="s">
        <v>218</v>
      </c>
      <c r="B34" s="88">
        <f>B17</f>
        <v>0</v>
      </c>
      <c r="C34" s="88">
        <f t="shared" ref="C34:K35" si="3">C17</f>
        <v>0</v>
      </c>
      <c r="D34" s="88">
        <f t="shared" si="3"/>
        <v>0</v>
      </c>
      <c r="E34" s="88">
        <f t="shared" si="3"/>
        <v>0</v>
      </c>
      <c r="F34" s="88">
        <f t="shared" si="3"/>
        <v>0</v>
      </c>
      <c r="G34" s="88">
        <f t="shared" si="3"/>
        <v>0</v>
      </c>
      <c r="H34" s="88">
        <f t="shared" si="3"/>
        <v>0</v>
      </c>
      <c r="I34" s="88">
        <f t="shared" si="3"/>
        <v>0</v>
      </c>
      <c r="J34" s="88">
        <f t="shared" si="3"/>
        <v>0</v>
      </c>
      <c r="K34" s="88">
        <f t="shared" si="3"/>
        <v>0</v>
      </c>
    </row>
    <row r="35" spans="1:16">
      <c r="A35" s="211" t="s">
        <v>276</v>
      </c>
      <c r="B35" s="88">
        <f>B18</f>
        <v>0</v>
      </c>
      <c r="C35" s="88">
        <f t="shared" si="3"/>
        <v>0</v>
      </c>
      <c r="D35" s="88">
        <f t="shared" si="3"/>
        <v>0</v>
      </c>
      <c r="E35" s="88">
        <f t="shared" si="3"/>
        <v>0</v>
      </c>
      <c r="F35" s="88">
        <f t="shared" si="3"/>
        <v>0</v>
      </c>
      <c r="G35" s="88">
        <f t="shared" si="3"/>
        <v>0</v>
      </c>
      <c r="H35" s="88">
        <f t="shared" si="3"/>
        <v>0</v>
      </c>
      <c r="I35" s="88">
        <f t="shared" si="3"/>
        <v>0</v>
      </c>
      <c r="J35" s="88">
        <f t="shared" si="3"/>
        <v>0</v>
      </c>
      <c r="K35" s="88">
        <f t="shared" si="3"/>
        <v>0</v>
      </c>
    </row>
    <row r="36" spans="1:16">
      <c r="A36" s="6" t="s">
        <v>98</v>
      </c>
      <c r="B36" s="88">
        <f>SUM(B21:B35)</f>
        <v>522530.26559627242</v>
      </c>
      <c r="C36" s="88">
        <f t="shared" ref="C36:K36" si="4">SUM(C21:C35)</f>
        <v>551930.9988586884</v>
      </c>
      <c r="D36" s="88">
        <f t="shared" si="4"/>
        <v>582470.43871391972</v>
      </c>
      <c r="E36" s="88">
        <f t="shared" si="4"/>
        <v>615844.53619169968</v>
      </c>
      <c r="F36" s="88">
        <f t="shared" si="4"/>
        <v>651632.6076238855</v>
      </c>
      <c r="G36" s="88">
        <f t="shared" si="4"/>
        <v>688731.12736988463</v>
      </c>
      <c r="H36" s="88">
        <f t="shared" si="4"/>
        <v>727718.10317730077</v>
      </c>
      <c r="I36" s="88">
        <f t="shared" si="4"/>
        <v>769233.92234203953</v>
      </c>
      <c r="J36" s="88">
        <f t="shared" si="4"/>
        <v>813143.23827805277</v>
      </c>
      <c r="K36" s="88">
        <f t="shared" si="4"/>
        <v>859585.34008533449</v>
      </c>
      <c r="L36" s="56">
        <f>(B36-B19)/$B$19</f>
        <v>1.0684583915500064E-2</v>
      </c>
      <c r="M36" s="56">
        <f>(K36-K19)/$K$19</f>
        <v>1.0777822335428138E-2</v>
      </c>
      <c r="P36" s="269"/>
    </row>
    <row r="37" spans="1:16">
      <c r="A37" s="210" t="s">
        <v>339</v>
      </c>
    </row>
    <row r="38" spans="1:16">
      <c r="A38" t="s">
        <v>4</v>
      </c>
      <c r="B38" s="88">
        <f>B21</f>
        <v>160982.18472241759</v>
      </c>
      <c r="C38" s="88">
        <f t="shared" ref="C38:K38" si="5">C21</f>
        <v>170537.49438363127</v>
      </c>
      <c r="D38" s="88">
        <f t="shared" si="5"/>
        <v>180460.89859002735</v>
      </c>
      <c r="E38" s="88">
        <f t="shared" si="5"/>
        <v>191373.94139189259</v>
      </c>
      <c r="F38" s="88">
        <f t="shared" si="5"/>
        <v>203564.86709807342</v>
      </c>
      <c r="G38" s="88">
        <f t="shared" si="5"/>
        <v>215643.69619095221</v>
      </c>
      <c r="H38" s="88">
        <f t="shared" si="5"/>
        <v>228436.04826394658</v>
      </c>
      <c r="I38" s="88">
        <f t="shared" si="5"/>
        <v>242268.17789218127</v>
      </c>
      <c r="J38" s="88">
        <f t="shared" si="5"/>
        <v>256937.80505709309</v>
      </c>
      <c r="K38" s="88">
        <f t="shared" si="5"/>
        <v>272495.63089666312</v>
      </c>
    </row>
    <row r="39" spans="1:16">
      <c r="A39" t="s">
        <v>5</v>
      </c>
      <c r="B39" s="88">
        <f t="shared" ref="B39:K52" si="6">B22</f>
        <v>118023.72967160547</v>
      </c>
      <c r="C39" s="88">
        <f t="shared" si="6"/>
        <v>124556.92987482675</v>
      </c>
      <c r="D39" s="88">
        <f t="shared" si="6"/>
        <v>131431.0340293771</v>
      </c>
      <c r="E39" s="88">
        <f t="shared" si="6"/>
        <v>139116.10603492125</v>
      </c>
      <c r="F39" s="88">
        <f t="shared" si="6"/>
        <v>146864.43291596879</v>
      </c>
      <c r="G39" s="88">
        <f t="shared" si="6"/>
        <v>155138.12273645093</v>
      </c>
      <c r="H39" s="88">
        <f t="shared" si="6"/>
        <v>163875.62518068371</v>
      </c>
      <c r="I39" s="88">
        <f t="shared" si="6"/>
        <v>173033.61858341735</v>
      </c>
      <c r="J39" s="88">
        <f t="shared" si="6"/>
        <v>182703.35446499128</v>
      </c>
      <c r="K39" s="88">
        <f t="shared" si="6"/>
        <v>192913.42384401843</v>
      </c>
    </row>
    <row r="40" spans="1:16">
      <c r="A40" t="s">
        <v>6</v>
      </c>
      <c r="B40" s="88">
        <f t="shared" si="6"/>
        <v>13439.558122078713</v>
      </c>
      <c r="C40" s="88">
        <f t="shared" si="6"/>
        <v>14183.50448014312</v>
      </c>
      <c r="D40" s="88">
        <f t="shared" si="6"/>
        <v>14966.27013734916</v>
      </c>
      <c r="E40" s="88">
        <f t="shared" si="6"/>
        <v>15781.490247081609</v>
      </c>
      <c r="F40" s="88">
        <f t="shared" si="6"/>
        <v>16644.677400163378</v>
      </c>
      <c r="G40" s="88">
        <f t="shared" si="6"/>
        <v>17565.714627498208</v>
      </c>
      <c r="H40" s="88">
        <f t="shared" si="6"/>
        <v>18519.887542642082</v>
      </c>
      <c r="I40" s="88">
        <f t="shared" si="6"/>
        <v>19530.151055276874</v>
      </c>
      <c r="J40" s="88">
        <f t="shared" si="6"/>
        <v>20595.520015831</v>
      </c>
      <c r="K40" s="88">
        <f t="shared" si="6"/>
        <v>21718.999649898433</v>
      </c>
    </row>
    <row r="41" spans="1:16">
      <c r="A41" t="s">
        <v>7</v>
      </c>
      <c r="B41" s="88">
        <f>B24*UF_Assumptions_1!$C$7</f>
        <v>22578.030258392639</v>
      </c>
      <c r="C41" s="88">
        <f>C24*UF_Assumptions_1!$C$7</f>
        <v>23579.394584993894</v>
      </c>
      <c r="D41" s="88">
        <f>D24*UF_Assumptions_1!$C$7</f>
        <v>24621.285201258324</v>
      </c>
      <c r="E41" s="88">
        <f>E24*UF_Assumptions_1!$C$7</f>
        <v>25716.095981056747</v>
      </c>
      <c r="F41" s="88">
        <f>F24*UF_Assumptions_1!$C$7</f>
        <v>26865.337251814348</v>
      </c>
      <c r="G41" s="88">
        <f>G24*UF_Assumptions_1!$C$7</f>
        <v>28029.450661411385</v>
      </c>
      <c r="H41" s="88">
        <f>H24*UF_Assumptions_1!$C$7</f>
        <v>29243.598060692901</v>
      </c>
      <c r="I41" s="88">
        <f>I24*UF_Assumptions_1!$C$7</f>
        <v>30517.096349681877</v>
      </c>
      <c r="J41" s="88">
        <f>J24*UF_Assumptions_1!$C$7</f>
        <v>31846.045706115103</v>
      </c>
      <c r="K41" s="88">
        <f>K24*UF_Assumptions_1!$C$7</f>
        <v>33232.859853795708</v>
      </c>
    </row>
    <row r="42" spans="1:16">
      <c r="A42" t="s">
        <v>8</v>
      </c>
      <c r="B42" s="88">
        <f t="shared" si="6"/>
        <v>28689.635954420595</v>
      </c>
      <c r="C42" s="88">
        <f t="shared" si="6"/>
        <v>30335.148515759727</v>
      </c>
      <c r="D42" s="88">
        <f t="shared" si="6"/>
        <v>31948.617271280385</v>
      </c>
      <c r="E42" s="88">
        <f t="shared" si="6"/>
        <v>33784.762834506182</v>
      </c>
      <c r="F42" s="88">
        <f t="shared" si="6"/>
        <v>35734.081370261993</v>
      </c>
      <c r="G42" s="88">
        <f t="shared" si="6"/>
        <v>37782.926230403427</v>
      </c>
      <c r="H42" s="88">
        <f t="shared" si="6"/>
        <v>39910.890682114885</v>
      </c>
      <c r="I42" s="88">
        <f t="shared" si="6"/>
        <v>42181.182194971159</v>
      </c>
      <c r="J42" s="88">
        <f t="shared" si="6"/>
        <v>44580.606980834782</v>
      </c>
      <c r="K42" s="88">
        <f t="shared" si="6"/>
        <v>47116.508905555907</v>
      </c>
    </row>
    <row r="43" spans="1:16">
      <c r="A43" t="s">
        <v>9</v>
      </c>
      <c r="B43" s="88">
        <f t="shared" si="6"/>
        <v>18890.513495020728</v>
      </c>
      <c r="C43" s="88">
        <f t="shared" si="6"/>
        <v>20257.444114574424</v>
      </c>
      <c r="D43" s="88">
        <f t="shared" si="6"/>
        <v>21679.33703796404</v>
      </c>
      <c r="E43" s="88">
        <f t="shared" si="6"/>
        <v>23228.934455282229</v>
      </c>
      <c r="F43" s="88">
        <f t="shared" si="6"/>
        <v>24871.376757942187</v>
      </c>
      <c r="G43" s="88">
        <f t="shared" si="6"/>
        <v>26670.588132498688</v>
      </c>
      <c r="H43" s="88">
        <f t="shared" si="6"/>
        <v>28599.55590900161</v>
      </c>
      <c r="I43" s="88">
        <f t="shared" si="6"/>
        <v>30645.959770397174</v>
      </c>
      <c r="J43" s="88">
        <f t="shared" si="6"/>
        <v>32838.784011304626</v>
      </c>
      <c r="K43" s="88">
        <f t="shared" si="6"/>
        <v>35188.504037067403</v>
      </c>
    </row>
    <row r="44" spans="1:16">
      <c r="A44" t="s">
        <v>10</v>
      </c>
      <c r="B44" s="88">
        <f t="shared" si="6"/>
        <v>19314.903208446871</v>
      </c>
      <c r="C44" s="88">
        <f t="shared" si="6"/>
        <v>20248.829312751863</v>
      </c>
      <c r="D44" s="88">
        <f t="shared" si="6"/>
        <v>21163.806395663054</v>
      </c>
      <c r="E44" s="88">
        <f t="shared" si="6"/>
        <v>22126.050076564541</v>
      </c>
      <c r="F44" s="88">
        <f t="shared" si="6"/>
        <v>23181.275733174672</v>
      </c>
      <c r="G44" s="88">
        <f t="shared" si="6"/>
        <v>24324.88535007407</v>
      </c>
      <c r="H44" s="88">
        <f t="shared" si="6"/>
        <v>25597.553137678322</v>
      </c>
      <c r="I44" s="88">
        <f t="shared" si="6"/>
        <v>26865.890611128772</v>
      </c>
      <c r="J44" s="88">
        <f t="shared" si="6"/>
        <v>28197.066818839965</v>
      </c>
      <c r="K44" s="88">
        <f t="shared" si="6"/>
        <v>29594.194354944852</v>
      </c>
    </row>
    <row r="45" spans="1:16">
      <c r="A45" t="s">
        <v>18</v>
      </c>
      <c r="B45" s="88">
        <f t="shared" si="6"/>
        <v>44019.592960460352</v>
      </c>
      <c r="C45" s="88">
        <f t="shared" si="6"/>
        <v>46588.399490469084</v>
      </c>
      <c r="D45" s="88">
        <f t="shared" si="6"/>
        <v>49345.928028678936</v>
      </c>
      <c r="E45" s="88">
        <f t="shared" si="6"/>
        <v>52231.296867792182</v>
      </c>
      <c r="F45" s="88">
        <f t="shared" si="6"/>
        <v>55401.743800516408</v>
      </c>
      <c r="G45" s="88">
        <f t="shared" si="6"/>
        <v>58744.509361278768</v>
      </c>
      <c r="H45" s="88">
        <f t="shared" si="6"/>
        <v>62229.333909265348</v>
      </c>
      <c r="I45" s="88">
        <f t="shared" si="6"/>
        <v>65955.914375606124</v>
      </c>
      <c r="J45" s="88">
        <f t="shared" si="6"/>
        <v>69905.644023707253</v>
      </c>
      <c r="K45" s="88">
        <f t="shared" si="6"/>
        <v>74091.883214033864</v>
      </c>
    </row>
    <row r="46" spans="1:16">
      <c r="A46" t="s">
        <v>16</v>
      </c>
      <c r="B46" s="88">
        <f t="shared" si="6"/>
        <v>9637.1769998811087</v>
      </c>
      <c r="C46" s="88">
        <f t="shared" si="6"/>
        <v>10083.87888270471</v>
      </c>
      <c r="D46" s="88">
        <f t="shared" si="6"/>
        <v>10559.707107985336</v>
      </c>
      <c r="E46" s="88">
        <f t="shared" si="6"/>
        <v>11060.948612131126</v>
      </c>
      <c r="F46" s="88">
        <f t="shared" si="6"/>
        <v>11588.462412451476</v>
      </c>
      <c r="G46" s="88">
        <f t="shared" si="6"/>
        <v>12148.56775369268</v>
      </c>
      <c r="H46" s="88">
        <f t="shared" si="6"/>
        <v>12735.566684289943</v>
      </c>
      <c r="I46" s="88">
        <f t="shared" si="6"/>
        <v>13345.373113401587</v>
      </c>
      <c r="J46" s="88">
        <f t="shared" si="6"/>
        <v>13984.375250099914</v>
      </c>
      <c r="K46" s="88">
        <f t="shared" si="6"/>
        <v>14653.970556324568</v>
      </c>
    </row>
    <row r="47" spans="1:16">
      <c r="A47" t="s">
        <v>11</v>
      </c>
      <c r="B47" s="88">
        <f t="shared" si="6"/>
        <v>5662.4045128174339</v>
      </c>
      <c r="C47" s="88">
        <f t="shared" si="6"/>
        <v>5998.5039926469553</v>
      </c>
      <c r="D47" s="88">
        <f t="shared" si="6"/>
        <v>6353.5504447079193</v>
      </c>
      <c r="E47" s="88">
        <f t="shared" si="6"/>
        <v>6731.4134014116889</v>
      </c>
      <c r="F47" s="88">
        <f t="shared" si="6"/>
        <v>7133.2752648964624</v>
      </c>
      <c r="G47" s="88">
        <f t="shared" si="6"/>
        <v>7570.8100191406356</v>
      </c>
      <c r="H47" s="88">
        <f t="shared" si="6"/>
        <v>7997.2040600137425</v>
      </c>
      <c r="I47" s="88">
        <f t="shared" si="6"/>
        <v>8468.1147953519812</v>
      </c>
      <c r="J47" s="88">
        <f t="shared" si="6"/>
        <v>8966.7528230695734</v>
      </c>
      <c r="K47" s="88">
        <f t="shared" si="6"/>
        <v>9494.7504879452099</v>
      </c>
    </row>
    <row r="48" spans="1:16">
      <c r="A48" t="s">
        <v>13</v>
      </c>
      <c r="B48" s="88">
        <f t="shared" si="6"/>
        <v>13015.934321462773</v>
      </c>
      <c r="C48" s="88">
        <f t="shared" si="6"/>
        <v>13476.024721270978</v>
      </c>
      <c r="D48" s="88">
        <f t="shared" si="6"/>
        <v>13923.220163679234</v>
      </c>
      <c r="E48" s="88">
        <f t="shared" si="6"/>
        <v>14458.753862211928</v>
      </c>
      <c r="F48" s="88">
        <f t="shared" si="6"/>
        <v>15047.036138730071</v>
      </c>
      <c r="G48" s="88">
        <f t="shared" si="6"/>
        <v>15608.734786912868</v>
      </c>
      <c r="H48" s="88">
        <f t="shared" si="6"/>
        <v>16159.948137089295</v>
      </c>
      <c r="I48" s="88">
        <f t="shared" si="6"/>
        <v>16766.700865673727</v>
      </c>
      <c r="J48" s="88">
        <f t="shared" si="6"/>
        <v>17396.231249972214</v>
      </c>
      <c r="K48" s="88">
        <f t="shared" si="6"/>
        <v>18049.393987394586</v>
      </c>
    </row>
    <row r="49" spans="1:16">
      <c r="A49" s="6" t="s">
        <v>71</v>
      </c>
      <c r="B49" s="88">
        <f t="shared" si="6"/>
        <v>28791.565066927964</v>
      </c>
      <c r="C49" s="88">
        <f t="shared" si="6"/>
        <v>30298.917575967578</v>
      </c>
      <c r="D49" s="88">
        <f t="shared" si="6"/>
        <v>31880.154947029732</v>
      </c>
      <c r="E49" s="88">
        <f t="shared" si="6"/>
        <v>33584.788311616554</v>
      </c>
      <c r="F49" s="88">
        <f t="shared" si="6"/>
        <v>35388.140800757341</v>
      </c>
      <c r="G49" s="88">
        <f t="shared" si="6"/>
        <v>37275.55331184082</v>
      </c>
      <c r="H49" s="88">
        <f t="shared" si="6"/>
        <v>39225.794609276592</v>
      </c>
      <c r="I49" s="88">
        <f t="shared" si="6"/>
        <v>41300.179658613044</v>
      </c>
      <c r="J49" s="88">
        <f t="shared" si="6"/>
        <v>43484.255035020928</v>
      </c>
      <c r="K49" s="88">
        <f t="shared" si="6"/>
        <v>45783.819883571348</v>
      </c>
    </row>
    <row r="50" spans="1:16">
      <c r="A50" s="6" t="s">
        <v>166</v>
      </c>
      <c r="B50" s="88">
        <f>B33*(SUM(B38:B47)/SUM(B21:B30))</f>
        <v>41099.687149911049</v>
      </c>
      <c r="C50" s="88">
        <f t="shared" ref="C50:K50" si="7">C33*(SUM(C38:C47)/SUM(C21:C30))</f>
        <v>43472.898349310992</v>
      </c>
      <c r="D50" s="88">
        <f t="shared" si="7"/>
        <v>45897.467622948025</v>
      </c>
      <c r="E50" s="88">
        <f t="shared" si="7"/>
        <v>48488.845516685818</v>
      </c>
      <c r="F50" s="88">
        <f t="shared" si="7"/>
        <v>51268.728149924304</v>
      </c>
      <c r="G50" s="88">
        <f t="shared" si="7"/>
        <v>54231.663745792241</v>
      </c>
      <c r="H50" s="88">
        <f t="shared" si="7"/>
        <v>57277.789084341108</v>
      </c>
      <c r="I50" s="88">
        <f t="shared" si="7"/>
        <v>60537.144950633432</v>
      </c>
      <c r="J50" s="88">
        <f t="shared" si="7"/>
        <v>63983.218419280274</v>
      </c>
      <c r="K50" s="88">
        <f t="shared" si="7"/>
        <v>67626.783209068002</v>
      </c>
      <c r="N50" s="269">
        <f>K50/(SUM(K38:K47)+K50)</f>
        <v>8.4731803434529504E-2</v>
      </c>
    </row>
    <row r="51" spans="1:16">
      <c r="A51" s="212" t="s">
        <v>218</v>
      </c>
      <c r="B51" s="88">
        <f t="shared" si="6"/>
        <v>0</v>
      </c>
      <c r="C51" s="88">
        <f t="shared" si="6"/>
        <v>0</v>
      </c>
      <c r="D51" s="88">
        <f t="shared" si="6"/>
        <v>0</v>
      </c>
      <c r="E51" s="88">
        <f t="shared" si="6"/>
        <v>0</v>
      </c>
      <c r="F51" s="88">
        <f t="shared" si="6"/>
        <v>0</v>
      </c>
      <c r="G51" s="88">
        <f t="shared" si="6"/>
        <v>0</v>
      </c>
      <c r="H51" s="88">
        <f t="shared" si="6"/>
        <v>0</v>
      </c>
      <c r="I51" s="88">
        <f t="shared" si="6"/>
        <v>0</v>
      </c>
      <c r="J51" s="88">
        <f t="shared" si="6"/>
        <v>0</v>
      </c>
      <c r="K51" s="88">
        <f t="shared" si="6"/>
        <v>0</v>
      </c>
    </row>
    <row r="52" spans="1:16">
      <c r="A52" s="211" t="s">
        <v>276</v>
      </c>
      <c r="B52" s="88">
        <f t="shared" si="6"/>
        <v>0</v>
      </c>
      <c r="C52" s="88">
        <f t="shared" si="6"/>
        <v>0</v>
      </c>
      <c r="D52" s="88">
        <f t="shared" si="6"/>
        <v>0</v>
      </c>
      <c r="E52" s="88">
        <f t="shared" si="6"/>
        <v>0</v>
      </c>
      <c r="F52" s="88">
        <f t="shared" si="6"/>
        <v>0</v>
      </c>
      <c r="G52" s="88">
        <f t="shared" si="6"/>
        <v>0</v>
      </c>
      <c r="H52" s="88">
        <f t="shared" si="6"/>
        <v>0</v>
      </c>
      <c r="I52" s="88">
        <f t="shared" si="6"/>
        <v>0</v>
      </c>
      <c r="J52" s="88">
        <f t="shared" si="6"/>
        <v>0</v>
      </c>
      <c r="K52" s="88">
        <f t="shared" si="6"/>
        <v>0</v>
      </c>
    </row>
    <row r="53" spans="1:16">
      <c r="A53" s="6" t="s">
        <v>98</v>
      </c>
      <c r="B53" s="88">
        <f>SUM(B38:B52)</f>
        <v>524144.91644384334</v>
      </c>
      <c r="C53" s="88">
        <f t="shared" ref="C53:K53" si="8">SUM(C38:C52)</f>
        <v>553617.36827905127</v>
      </c>
      <c r="D53" s="88">
        <f t="shared" si="8"/>
        <v>584231.2769779485</v>
      </c>
      <c r="E53" s="88">
        <f t="shared" si="8"/>
        <v>617683.42759315448</v>
      </c>
      <c r="F53" s="88">
        <f t="shared" si="8"/>
        <v>653553.43509467493</v>
      </c>
      <c r="G53" s="88">
        <f t="shared" si="8"/>
        <v>690735.22290794691</v>
      </c>
      <c r="H53" s="88">
        <f t="shared" si="8"/>
        <v>729808.79526103614</v>
      </c>
      <c r="I53" s="88">
        <f t="shared" si="8"/>
        <v>771415.50421633432</v>
      </c>
      <c r="J53" s="88">
        <f t="shared" si="8"/>
        <v>815419.65985615994</v>
      </c>
      <c r="K53" s="88">
        <f t="shared" si="8"/>
        <v>861960.72288028151</v>
      </c>
      <c r="L53" s="56">
        <f>(B53-B36)/$B$19</f>
        <v>3.1230778913520192E-3</v>
      </c>
      <c r="M53" s="56">
        <f>(K53-K36)/$K$19</f>
        <v>2.7931889211270525E-3</v>
      </c>
      <c r="P53" s="269"/>
    </row>
    <row r="54" spans="1:16">
      <c r="A54" s="210" t="s">
        <v>314</v>
      </c>
    </row>
    <row r="55" spans="1:16">
      <c r="A55" t="s">
        <v>4</v>
      </c>
      <c r="B55" s="88">
        <f>B38*UF_Assumptions_1!$D4</f>
        <v>168065.40085020397</v>
      </c>
      <c r="C55" s="88">
        <f>C38*UF_Assumptions_1!$D4</f>
        <v>178041.14413651105</v>
      </c>
      <c r="D55" s="88">
        <f>D38*UF_Assumptions_1!$D4</f>
        <v>188401.17812798856</v>
      </c>
      <c r="E55" s="88">
        <f>E38*UF_Assumptions_1!$D4</f>
        <v>199794.39481313588</v>
      </c>
      <c r="F55" s="88">
        <f>F38*UF_Assumptions_1!$D4</f>
        <v>212521.72125038865</v>
      </c>
      <c r="G55" s="88">
        <f>G38*UF_Assumptions_1!$D4</f>
        <v>225132.01882335413</v>
      </c>
      <c r="H55" s="88">
        <f>H38*UF_Assumptions_1!$D4</f>
        <v>238487.23438756022</v>
      </c>
      <c r="I55" s="88">
        <f>I38*UF_Assumptions_1!$D4</f>
        <v>252927.97771943724</v>
      </c>
      <c r="J55" s="88">
        <f>J38*UF_Assumptions_1!$D4</f>
        <v>268243.06847960519</v>
      </c>
      <c r="K55" s="88">
        <f>K38*UF_Assumptions_1!$D4</f>
        <v>284485.43865611631</v>
      </c>
    </row>
    <row r="56" spans="1:16">
      <c r="A56" t="s">
        <v>5</v>
      </c>
      <c r="B56" s="88">
        <f>B39*UF_Assumptions_1!$D5</f>
        <v>128445.22500160824</v>
      </c>
      <c r="C56" s="88">
        <f>C39*UF_Assumptions_1!$D5</f>
        <v>135555.30678277396</v>
      </c>
      <c r="D56" s="88">
        <f>D39*UF_Assumptions_1!$D5</f>
        <v>143036.39433417111</v>
      </c>
      <c r="E56" s="88">
        <f>E39*UF_Assumptions_1!$D5</f>
        <v>151400.05819780481</v>
      </c>
      <c r="F56" s="88">
        <f>F39*UF_Assumptions_1!$D5</f>
        <v>159832.56234244883</v>
      </c>
      <c r="G56" s="88">
        <f>G39*UF_Assumptions_1!$D5</f>
        <v>168836.81897407954</v>
      </c>
      <c r="H56" s="88">
        <f>H39*UF_Assumptions_1!$D5</f>
        <v>178345.84288413808</v>
      </c>
      <c r="I56" s="88">
        <f>I39*UF_Assumptions_1!$D5</f>
        <v>188312.48710433312</v>
      </c>
      <c r="J56" s="88">
        <f>J39*UF_Assumptions_1!$D5</f>
        <v>198836.06066425002</v>
      </c>
      <c r="K56" s="88">
        <f>K39*UF_Assumptions_1!$D5</f>
        <v>209947.67916944527</v>
      </c>
    </row>
    <row r="57" spans="1:16">
      <c r="A57" t="s">
        <v>6</v>
      </c>
      <c r="B57" s="88">
        <f>B40*UF_Assumptions_1!$D6</f>
        <v>14626.271104258265</v>
      </c>
      <c r="C57" s="88">
        <f>C40*UF_Assumptions_1!$D6</f>
        <v>15435.907925739757</v>
      </c>
      <c r="D57" s="88">
        <f>D40*UF_Assumptions_1!$D6</f>
        <v>16287.791790477091</v>
      </c>
      <c r="E57" s="88">
        <f>E40*UF_Assumptions_1!$D6</f>
        <v>17174.995835898917</v>
      </c>
      <c r="F57" s="88">
        <f>F40*UF_Assumptions_1!$D6</f>
        <v>18114.402414597807</v>
      </c>
      <c r="G57" s="88">
        <f>G40*UF_Assumptions_1!$D6</f>
        <v>19116.767229106299</v>
      </c>
      <c r="H57" s="88">
        <f>H40*UF_Assumptions_1!$D6</f>
        <v>20155.193612657378</v>
      </c>
      <c r="I57" s="88">
        <f>I40*UF_Assumptions_1!$D6</f>
        <v>21254.663393457824</v>
      </c>
      <c r="J57" s="88">
        <f>J40*UF_Assumptions_1!$D6</f>
        <v>22414.104433228877</v>
      </c>
      <c r="K57" s="88">
        <f>K40*UF_Assumptions_1!$D6</f>
        <v>23636.787318984465</v>
      </c>
    </row>
    <row r="58" spans="1:16">
      <c r="A58" t="s">
        <v>7</v>
      </c>
      <c r="B58" s="88">
        <f>B41*UF_Assumptions_1!$D7</f>
        <v>24571.670330208708</v>
      </c>
      <c r="C58" s="88">
        <f>C41*UF_Assumptions_1!$D7</f>
        <v>25661.455126848854</v>
      </c>
      <c r="D58" s="88">
        <f>D41*UF_Assumptions_1!$D7</f>
        <v>26795.344684529435</v>
      </c>
      <c r="E58" s="88">
        <f>E41*UF_Assumptions_1!$D7</f>
        <v>27986.82725618406</v>
      </c>
      <c r="F58" s="88">
        <f>F41*UF_Assumptions_1!$D7</f>
        <v>29237.546531149557</v>
      </c>
      <c r="G58" s="88">
        <f>G41*UF_Assumptions_1!$D7</f>
        <v>30504.451154814011</v>
      </c>
      <c r="H58" s="88">
        <f>H41*UF_Assumptions_1!$D7</f>
        <v>31825.807769452083</v>
      </c>
      <c r="I58" s="88">
        <f>I41*UF_Assumptions_1!$D7</f>
        <v>33211.755957358786</v>
      </c>
      <c r="J58" s="88">
        <f>J41*UF_Assumptions_1!$D7</f>
        <v>34658.051541965069</v>
      </c>
      <c r="K58" s="88">
        <f>K41*UF_Assumptions_1!$D7</f>
        <v>36167.32137888587</v>
      </c>
    </row>
    <row r="59" spans="1:16">
      <c r="A59" t="s">
        <v>8</v>
      </c>
      <c r="B59" s="88">
        <f>B42*UF_Assumptions_1!$D8</f>
        <v>28689.635954420595</v>
      </c>
      <c r="C59" s="88">
        <f>C42*UF_Assumptions_1!$D8</f>
        <v>30335.148515759727</v>
      </c>
      <c r="D59" s="88">
        <f>D42*UF_Assumptions_1!$D8</f>
        <v>31948.617271280385</v>
      </c>
      <c r="E59" s="88">
        <f>E42*UF_Assumptions_1!$D8</f>
        <v>33784.762834506182</v>
      </c>
      <c r="F59" s="88">
        <f>F42*UF_Assumptions_1!$D8</f>
        <v>35734.081370261993</v>
      </c>
      <c r="G59" s="88">
        <f>G42*UF_Assumptions_1!$D8</f>
        <v>37782.926230403427</v>
      </c>
      <c r="H59" s="88">
        <f>H42*UF_Assumptions_1!$D8</f>
        <v>39910.890682114885</v>
      </c>
      <c r="I59" s="88">
        <f>I42*UF_Assumptions_1!$D8</f>
        <v>42181.182194971159</v>
      </c>
      <c r="J59" s="88">
        <f>J42*UF_Assumptions_1!$D8</f>
        <v>44580.606980834782</v>
      </c>
      <c r="K59" s="88">
        <f>K42*UF_Assumptions_1!$D8</f>
        <v>47116.508905555907</v>
      </c>
    </row>
    <row r="60" spans="1:16">
      <c r="A60" t="s">
        <v>9</v>
      </c>
      <c r="B60" s="88">
        <f>B43*UF_Assumptions_1!$D9</f>
        <v>20558.54583663106</v>
      </c>
      <c r="C60" s="88">
        <f>C43*UF_Assumptions_1!$D9</f>
        <v>22046.176429891348</v>
      </c>
      <c r="D60" s="88">
        <f>D43*UF_Assumptions_1!$D9</f>
        <v>23593.622498416265</v>
      </c>
      <c r="E60" s="88">
        <f>E43*UF_Assumptions_1!$D9</f>
        <v>25280.049367683652</v>
      </c>
      <c r="F60" s="88">
        <f>F43*UF_Assumptions_1!$D9</f>
        <v>27067.519325668483</v>
      </c>
      <c r="G60" s="88">
        <f>G43*UF_Assumptions_1!$D9</f>
        <v>29025.601064598322</v>
      </c>
      <c r="H60" s="88">
        <f>H43*UF_Assumptions_1!$D9</f>
        <v>31124.896695766452</v>
      </c>
      <c r="I60" s="88">
        <f>I43*UF_Assumptions_1!$D9</f>
        <v>33351.998018123246</v>
      </c>
      <c r="J60" s="88">
        <f>J43*UF_Assumptions_1!$D9</f>
        <v>35738.448639502829</v>
      </c>
      <c r="K60" s="88">
        <f>K43*UF_Assumptions_1!$D9</f>
        <v>38295.648943540458</v>
      </c>
    </row>
    <row r="61" spans="1:16">
      <c r="A61" t="s">
        <v>10</v>
      </c>
      <c r="B61" s="88">
        <f>B44*UF_Assumptions_1!$D10</f>
        <v>19314.903208446871</v>
      </c>
      <c r="C61" s="88">
        <f>C44*UF_Assumptions_1!$D10</f>
        <v>20248.829312751863</v>
      </c>
      <c r="D61" s="88">
        <f>D44*UF_Assumptions_1!$D10</f>
        <v>21163.806395663054</v>
      </c>
      <c r="E61" s="88">
        <f>E44*UF_Assumptions_1!$D10</f>
        <v>22126.050076564541</v>
      </c>
      <c r="F61" s="88">
        <f>F44*UF_Assumptions_1!$D10</f>
        <v>23181.275733174672</v>
      </c>
      <c r="G61" s="88">
        <f>G44*UF_Assumptions_1!$D10</f>
        <v>24324.88535007407</v>
      </c>
      <c r="H61" s="88">
        <f>H44*UF_Assumptions_1!$D10</f>
        <v>25597.553137678322</v>
      </c>
      <c r="I61" s="88">
        <f>I44*UF_Assumptions_1!$D10</f>
        <v>26865.890611128772</v>
      </c>
      <c r="J61" s="88">
        <f>J44*UF_Assumptions_1!$D10</f>
        <v>28197.066818839965</v>
      </c>
      <c r="K61" s="88">
        <f>K44*UF_Assumptions_1!$D10</f>
        <v>29594.194354944852</v>
      </c>
    </row>
    <row r="62" spans="1:16">
      <c r="A62" t="s">
        <v>18</v>
      </c>
      <c r="B62" s="88">
        <f>B45*UF_Assumptions_1!$D11</f>
        <v>47906.523018869004</v>
      </c>
      <c r="C62" s="88">
        <f>C45*UF_Assumptions_1!$D11</f>
        <v>50702.155165477503</v>
      </c>
      <c r="D62" s="88">
        <f>D45*UF_Assumptions_1!$D11</f>
        <v>53703.173473611292</v>
      </c>
      <c r="E62" s="88">
        <f>E45*UF_Assumptions_1!$D11</f>
        <v>56843.320381218233</v>
      </c>
      <c r="F62" s="88">
        <f>F45*UF_Assumptions_1!$D11</f>
        <v>60293.717778102007</v>
      </c>
      <c r="G62" s="88">
        <f>G45*UF_Assumptions_1!$D11</f>
        <v>63931.649537879683</v>
      </c>
      <c r="H62" s="88">
        <f>H45*UF_Assumptions_1!$D11</f>
        <v>67724.184093453485</v>
      </c>
      <c r="I62" s="88">
        <f>I45*UF_Assumptions_1!$D11</f>
        <v>71779.821614972141</v>
      </c>
      <c r="J62" s="88">
        <f>J45*UF_Assumptions_1!$D11</f>
        <v>76078.312391000611</v>
      </c>
      <c r="K62" s="88">
        <f>K45*UF_Assumptions_1!$D11</f>
        <v>80634.196501833052</v>
      </c>
    </row>
    <row r="63" spans="1:16">
      <c r="A63" t="s">
        <v>16</v>
      </c>
      <c r="B63" s="88">
        <f>B46*UF_Assumptions_1!$D12</f>
        <v>9637.1769998811087</v>
      </c>
      <c r="C63" s="88">
        <f>C46*UF_Assumptions_1!$D12</f>
        <v>10083.87888270471</v>
      </c>
      <c r="D63" s="88">
        <f>D46*UF_Assumptions_1!$D12</f>
        <v>10559.707107985336</v>
      </c>
      <c r="E63" s="88">
        <f>E46*UF_Assumptions_1!$D12</f>
        <v>11060.948612131126</v>
      </c>
      <c r="F63" s="88">
        <f>F46*UF_Assumptions_1!$D12</f>
        <v>11588.462412451476</v>
      </c>
      <c r="G63" s="88">
        <f>G46*UF_Assumptions_1!$D12</f>
        <v>12148.56775369268</v>
      </c>
      <c r="H63" s="88">
        <f>H46*UF_Assumptions_1!$D12</f>
        <v>12735.566684289943</v>
      </c>
      <c r="I63" s="88">
        <f>I46*UF_Assumptions_1!$D12</f>
        <v>13345.373113401587</v>
      </c>
      <c r="J63" s="88">
        <f>J46*UF_Assumptions_1!$D12</f>
        <v>13984.375250099914</v>
      </c>
      <c r="K63" s="88">
        <f>K46*UF_Assumptions_1!$D12</f>
        <v>14653.970556324568</v>
      </c>
    </row>
    <row r="64" spans="1:16">
      <c r="A64" t="s">
        <v>11</v>
      </c>
      <c r="B64" s="88">
        <f>B47*UF_Assumptions_1!$D13</f>
        <v>6162.3948312992134</v>
      </c>
      <c r="C64" s="88">
        <f>C47*UF_Assumptions_1!$D13</f>
        <v>6528.1718951976818</v>
      </c>
      <c r="D64" s="88">
        <f>D47*UF_Assumptions_1!$D13</f>
        <v>6914.5689489756287</v>
      </c>
      <c r="E64" s="88">
        <f>E47*UF_Assumptions_1!$D13</f>
        <v>7325.7972047563417</v>
      </c>
      <c r="F64" s="88">
        <f>F47*UF_Assumptions_1!$D13</f>
        <v>7763.1434707868202</v>
      </c>
      <c r="G64" s="88">
        <f>G47*UF_Assumptions_1!$D13</f>
        <v>8239.3125438307543</v>
      </c>
      <c r="H64" s="88">
        <f>H47*UF_Assumptions_1!$D13</f>
        <v>8703.357178512957</v>
      </c>
      <c r="I64" s="88">
        <f>I47*UF_Assumptions_1!$D13</f>
        <v>9215.849331781561</v>
      </c>
      <c r="J64" s="88">
        <f>J47*UF_Assumptions_1!$D13</f>
        <v>9758.5170973466174</v>
      </c>
      <c r="K64" s="88">
        <f>K47*UF_Assumptions_1!$D13</f>
        <v>10333.136956030772</v>
      </c>
    </row>
    <row r="65" spans="1:16">
      <c r="A65" t="s">
        <v>13</v>
      </c>
      <c r="B65" s="88">
        <f t="shared" ref="B65:K65" si="9">B48</f>
        <v>13015.934321462773</v>
      </c>
      <c r="C65" s="88">
        <f t="shared" si="9"/>
        <v>13476.024721270978</v>
      </c>
      <c r="D65" s="88">
        <f t="shared" si="9"/>
        <v>13923.220163679234</v>
      </c>
      <c r="E65" s="88">
        <f t="shared" si="9"/>
        <v>14458.753862211928</v>
      </c>
      <c r="F65" s="88">
        <f t="shared" si="9"/>
        <v>15047.036138730071</v>
      </c>
      <c r="G65" s="88">
        <f t="shared" si="9"/>
        <v>15608.734786912868</v>
      </c>
      <c r="H65" s="88">
        <f t="shared" si="9"/>
        <v>16159.948137089295</v>
      </c>
      <c r="I65" s="88">
        <f t="shared" si="9"/>
        <v>16766.700865673727</v>
      </c>
      <c r="J65" s="88">
        <f t="shared" si="9"/>
        <v>17396.231249972214</v>
      </c>
      <c r="K65" s="88">
        <f t="shared" si="9"/>
        <v>18049.393987394586</v>
      </c>
    </row>
    <row r="66" spans="1:16">
      <c r="A66" s="6" t="s">
        <v>71</v>
      </c>
      <c r="B66" s="88">
        <f t="shared" ref="B66:K66" si="10">B49</f>
        <v>28791.565066927964</v>
      </c>
      <c r="C66" s="88">
        <f t="shared" si="10"/>
        <v>30298.917575967578</v>
      </c>
      <c r="D66" s="88">
        <f t="shared" si="10"/>
        <v>31880.154947029732</v>
      </c>
      <c r="E66" s="88">
        <f t="shared" si="10"/>
        <v>33584.788311616554</v>
      </c>
      <c r="F66" s="88">
        <f t="shared" si="10"/>
        <v>35388.140800757341</v>
      </c>
      <c r="G66" s="88">
        <f t="shared" si="10"/>
        <v>37275.55331184082</v>
      </c>
      <c r="H66" s="88">
        <f t="shared" si="10"/>
        <v>39225.794609276592</v>
      </c>
      <c r="I66" s="88">
        <f t="shared" si="10"/>
        <v>41300.179658613044</v>
      </c>
      <c r="J66" s="88">
        <f t="shared" si="10"/>
        <v>43484.255035020928</v>
      </c>
      <c r="K66" s="88">
        <f t="shared" si="10"/>
        <v>45783.819883571348</v>
      </c>
    </row>
    <row r="67" spans="1:16">
      <c r="A67" s="6" t="s">
        <v>166</v>
      </c>
      <c r="B67" s="88">
        <f>B50*(SUM(B55:B64)/SUM(B38:B47))</f>
        <v>43590.422343348007</v>
      </c>
      <c r="C67" s="88">
        <f t="shared" ref="C67:K67" si="11">C50*(SUM(C55:C64)/SUM(C38:C47))</f>
        <v>46107.976167955705</v>
      </c>
      <c r="D67" s="88">
        <f t="shared" si="11"/>
        <v>48681.316729246224</v>
      </c>
      <c r="E67" s="88">
        <f t="shared" si="11"/>
        <v>51431.401696956738</v>
      </c>
      <c r="F67" s="88">
        <f t="shared" si="11"/>
        <v>54379.591304466143</v>
      </c>
      <c r="G67" s="88">
        <f t="shared" si="11"/>
        <v>57523.343405787571</v>
      </c>
      <c r="H67" s="88">
        <f t="shared" si="11"/>
        <v>60754.972819010676</v>
      </c>
      <c r="I67" s="88">
        <f t="shared" si="11"/>
        <v>64212.664326125006</v>
      </c>
      <c r="J67" s="88">
        <f t="shared" si="11"/>
        <v>67868.473974574983</v>
      </c>
      <c r="K67" s="88">
        <f t="shared" si="11"/>
        <v>71733.836245111743</v>
      </c>
      <c r="N67" s="269">
        <f>K67/(SUM(K55:K64)+K67)</f>
        <v>8.4731803434529504E-2</v>
      </c>
    </row>
    <row r="68" spans="1:16">
      <c r="A68" s="212" t="s">
        <v>218</v>
      </c>
      <c r="B68" s="88">
        <f t="shared" ref="B68:K68" si="12">B51</f>
        <v>0</v>
      </c>
      <c r="C68" s="88">
        <f t="shared" si="12"/>
        <v>0</v>
      </c>
      <c r="D68" s="88">
        <f t="shared" si="12"/>
        <v>0</v>
      </c>
      <c r="E68" s="88">
        <f t="shared" si="12"/>
        <v>0</v>
      </c>
      <c r="F68" s="88">
        <f t="shared" si="12"/>
        <v>0</v>
      </c>
      <c r="G68" s="88">
        <f t="shared" si="12"/>
        <v>0</v>
      </c>
      <c r="H68" s="88">
        <f t="shared" si="12"/>
        <v>0</v>
      </c>
      <c r="I68" s="88">
        <f t="shared" si="12"/>
        <v>0</v>
      </c>
      <c r="J68" s="88">
        <f t="shared" si="12"/>
        <v>0</v>
      </c>
      <c r="K68" s="88">
        <f t="shared" si="12"/>
        <v>0</v>
      </c>
    </row>
    <row r="69" spans="1:16">
      <c r="A69" s="211" t="s">
        <v>276</v>
      </c>
      <c r="B69" s="88">
        <f t="shared" ref="B69:K69" si="13">B52</f>
        <v>0</v>
      </c>
      <c r="C69" s="88">
        <f t="shared" si="13"/>
        <v>0</v>
      </c>
      <c r="D69" s="88">
        <f t="shared" si="13"/>
        <v>0</v>
      </c>
      <c r="E69" s="88">
        <f t="shared" si="13"/>
        <v>0</v>
      </c>
      <c r="F69" s="88">
        <f t="shared" si="13"/>
        <v>0</v>
      </c>
      <c r="G69" s="88">
        <f t="shared" si="13"/>
        <v>0</v>
      </c>
      <c r="H69" s="88">
        <f t="shared" si="13"/>
        <v>0</v>
      </c>
      <c r="I69" s="88">
        <f t="shared" si="13"/>
        <v>0</v>
      </c>
      <c r="J69" s="88">
        <f t="shared" si="13"/>
        <v>0</v>
      </c>
      <c r="K69" s="88">
        <f t="shared" si="13"/>
        <v>0</v>
      </c>
    </row>
    <row r="70" spans="1:16">
      <c r="A70" s="6" t="s">
        <v>98</v>
      </c>
      <c r="B70" s="88">
        <f>SUM(B55:B69)</f>
        <v>553375.66886756569</v>
      </c>
      <c r="C70" s="88">
        <f t="shared" ref="C70:J70" si="14">SUM(C55:C69)</f>
        <v>584521.09263885068</v>
      </c>
      <c r="D70" s="88">
        <f t="shared" si="14"/>
        <v>616888.89647305338</v>
      </c>
      <c r="E70" s="88">
        <f t="shared" si="14"/>
        <v>652252.1484506689</v>
      </c>
      <c r="F70" s="88">
        <f t="shared" si="14"/>
        <v>690149.2008729839</v>
      </c>
      <c r="G70" s="88">
        <f t="shared" si="14"/>
        <v>729450.63016637415</v>
      </c>
      <c r="H70" s="88">
        <f t="shared" si="14"/>
        <v>770751.24269100034</v>
      </c>
      <c r="I70" s="88">
        <f t="shared" si="14"/>
        <v>814726.54390937719</v>
      </c>
      <c r="J70" s="88">
        <f t="shared" si="14"/>
        <v>861237.57255624188</v>
      </c>
      <c r="K70" s="88">
        <f>SUM(K55:K69)</f>
        <v>910431.93285773916</v>
      </c>
      <c r="L70" s="56">
        <f>(B70-B53)/$B$19</f>
        <v>5.6538487425593392E-2</v>
      </c>
      <c r="M70" s="56">
        <f>(K70-K53)/$K$19</f>
        <v>5.6996812046741195E-2</v>
      </c>
      <c r="P70" s="269"/>
    </row>
    <row r="71" spans="1:16">
      <c r="A71" s="210" t="s">
        <v>338</v>
      </c>
      <c r="B71" s="6"/>
      <c r="C71" s="6"/>
      <c r="D71" s="6"/>
      <c r="E71" s="6"/>
      <c r="F71" s="6"/>
      <c r="G71" s="6"/>
      <c r="H71" s="6"/>
      <c r="I71" s="6"/>
      <c r="J71" s="6"/>
      <c r="K71" s="6"/>
      <c r="L71" s="299"/>
    </row>
    <row r="72" spans="1:16">
      <c r="A72" s="6" t="s">
        <v>4</v>
      </c>
      <c r="B72" s="285">
        <f>B55*UF_Assumptions_1!$G4*UF_Assumptions_1!$F4</f>
        <v>165880.5506391513</v>
      </c>
      <c r="C72" s="285">
        <f>C55*UF_Assumptions_1!$G4*UF_Assumptions_1!$F4</f>
        <v>175726.6092627364</v>
      </c>
      <c r="D72" s="285">
        <f>D55*UF_Assumptions_1!$G4*UF_Assumptions_1!$F4</f>
        <v>185951.96281232469</v>
      </c>
      <c r="E72" s="285">
        <f>E55*UF_Assumptions_1!$G4*UF_Assumptions_1!$F4</f>
        <v>197197.06768056512</v>
      </c>
      <c r="F72" s="285">
        <f>F55*UF_Assumptions_1!$G4*UF_Assumptions_1!$F4</f>
        <v>209758.9388741336</v>
      </c>
      <c r="G72" s="285">
        <f>G55*UF_Assumptions_1!$G4*UF_Assumptions_1!$F4</f>
        <v>222205.30257865053</v>
      </c>
      <c r="H72" s="285">
        <f>H55*UF_Assumptions_1!$G4*UF_Assumptions_1!$F4</f>
        <v>235386.90034052194</v>
      </c>
      <c r="I72" s="285">
        <f>I55*UF_Assumptions_1!$G4*UF_Assumptions_1!$F4</f>
        <v>249639.91400908455</v>
      </c>
      <c r="J72" s="285">
        <f>J55*UF_Assumptions_1!$G4*UF_Assumptions_1!$F4</f>
        <v>264755.90858937032</v>
      </c>
      <c r="K72" s="285">
        <f>K55*UF_Assumptions_1!$G4*UF_Assumptions_1!$F4</f>
        <v>280787.12795358681</v>
      </c>
      <c r="L72" s="299"/>
    </row>
    <row r="73" spans="1:16">
      <c r="A73" s="6" t="s">
        <v>5</v>
      </c>
      <c r="B73" s="285">
        <f>B56*UF_Assumptions_1!$G5*UF_Assumptions_1!$F5</f>
        <v>123307.41600154391</v>
      </c>
      <c r="C73" s="285">
        <f>C56*UF_Assumptions_1!$G5*UF_Assumptions_1!$F5</f>
        <v>130133.094511463</v>
      </c>
      <c r="D73" s="285">
        <f>D56*UF_Assumptions_1!$G5*UF_Assumptions_1!$F5</f>
        <v>137314.93856080426</v>
      </c>
      <c r="E73" s="285">
        <f>E56*UF_Assumptions_1!$G5*UF_Assumptions_1!$F5</f>
        <v>145344.05586989262</v>
      </c>
      <c r="F73" s="285">
        <f>F56*UF_Assumptions_1!$G5*UF_Assumptions_1!$F5</f>
        <v>153439.25984875087</v>
      </c>
      <c r="G73" s="285">
        <f>G56*UF_Assumptions_1!$G5*UF_Assumptions_1!$F5</f>
        <v>162083.34621511635</v>
      </c>
      <c r="H73" s="285">
        <f>H56*UF_Assumptions_1!$G5*UF_Assumptions_1!$F5</f>
        <v>171212.00916877255</v>
      </c>
      <c r="I73" s="285">
        <f>I56*UF_Assumptions_1!$G5*UF_Assumptions_1!$F5</f>
        <v>180779.98762015978</v>
      </c>
      <c r="J73" s="285">
        <f>J56*UF_Assumptions_1!$G5*UF_Assumptions_1!$F5</f>
        <v>190882.61823768</v>
      </c>
      <c r="K73" s="285">
        <f>K56*UF_Assumptions_1!$G5*UF_Assumptions_1!$F5</f>
        <v>201549.77200266745</v>
      </c>
      <c r="L73" s="299"/>
    </row>
    <row r="74" spans="1:16">
      <c r="A74" s="6" t="s">
        <v>6</v>
      </c>
      <c r="B74" s="285">
        <f>B57*UF_Assumptions_1!$G6*UF_Assumptions_1!$F6</f>
        <v>14626.271104258265</v>
      </c>
      <c r="C74" s="285">
        <f>C57*UF_Assumptions_1!$G6*UF_Assumptions_1!$F6</f>
        <v>15435.907925739757</v>
      </c>
      <c r="D74" s="285">
        <f>D57*UF_Assumptions_1!$G6*UF_Assumptions_1!$F6</f>
        <v>16287.791790477091</v>
      </c>
      <c r="E74" s="285">
        <f>E57*UF_Assumptions_1!$G6*UF_Assumptions_1!$F6</f>
        <v>17174.995835898917</v>
      </c>
      <c r="F74" s="285">
        <f>F57*UF_Assumptions_1!$G6*UF_Assumptions_1!$F6</f>
        <v>18114.402414597807</v>
      </c>
      <c r="G74" s="285">
        <f>G57*UF_Assumptions_1!$G6*UF_Assumptions_1!$F6</f>
        <v>19116.767229106299</v>
      </c>
      <c r="H74" s="285">
        <f>H57*UF_Assumptions_1!$G6*UF_Assumptions_1!$F6</f>
        <v>20155.193612657378</v>
      </c>
      <c r="I74" s="285">
        <f>I57*UF_Assumptions_1!$G6*UF_Assumptions_1!$F6</f>
        <v>21254.663393457824</v>
      </c>
      <c r="J74" s="285">
        <f>J57*UF_Assumptions_1!$G6*UF_Assumptions_1!$F6</f>
        <v>22414.104433228877</v>
      </c>
      <c r="K74" s="285">
        <f>K57*UF_Assumptions_1!$G6*UF_Assumptions_1!$F6</f>
        <v>23636.787318984465</v>
      </c>
      <c r="L74" s="299"/>
    </row>
    <row r="75" spans="1:16">
      <c r="A75" s="6" t="s">
        <v>7</v>
      </c>
      <c r="B75" s="285">
        <f>B58*UF_Assumptions_1!$G7*UF_Assumptions_1!$F7</f>
        <v>24571.670330208708</v>
      </c>
      <c r="C75" s="285">
        <f>C58*UF_Assumptions_1!$G7*UF_Assumptions_1!$F7</f>
        <v>25661.455126848854</v>
      </c>
      <c r="D75" s="285">
        <f>D58*UF_Assumptions_1!$G7*UF_Assumptions_1!$F7</f>
        <v>26795.344684529435</v>
      </c>
      <c r="E75" s="285">
        <f>E58*UF_Assumptions_1!$G7*UF_Assumptions_1!$F7</f>
        <v>27986.82725618406</v>
      </c>
      <c r="F75" s="285">
        <f>F58*UF_Assumptions_1!$G7*UF_Assumptions_1!$F7</f>
        <v>29237.546531149557</v>
      </c>
      <c r="G75" s="285">
        <f>G58*UF_Assumptions_1!$G7*UF_Assumptions_1!$F7</f>
        <v>30504.451154814011</v>
      </c>
      <c r="H75" s="285">
        <f>H58*UF_Assumptions_1!$G7*UF_Assumptions_1!$F7</f>
        <v>31825.807769452083</v>
      </c>
      <c r="I75" s="285">
        <f>I58*UF_Assumptions_1!$G7*UF_Assumptions_1!$F7</f>
        <v>33211.755957358786</v>
      </c>
      <c r="J75" s="285">
        <f>J58*UF_Assumptions_1!$G7*UF_Assumptions_1!$F7</f>
        <v>34658.051541965069</v>
      </c>
      <c r="K75" s="285">
        <f>K58*UF_Assumptions_1!$G7*UF_Assumptions_1!$F7</f>
        <v>36167.32137888587</v>
      </c>
      <c r="L75" s="299"/>
    </row>
    <row r="76" spans="1:16">
      <c r="A76" s="6" t="s">
        <v>8</v>
      </c>
      <c r="B76" s="285">
        <f>B59*UF_Assumptions_1!$G8*UF_Assumptions_1!$F8</f>
        <v>28689.635954420595</v>
      </c>
      <c r="C76" s="285">
        <f>C59*UF_Assumptions_1!$G8*UF_Assumptions_1!$F8</f>
        <v>30335.148515759727</v>
      </c>
      <c r="D76" s="285">
        <f>D59*UF_Assumptions_1!$G8*UF_Assumptions_1!$F8</f>
        <v>31948.617271280385</v>
      </c>
      <c r="E76" s="285">
        <f>E59*UF_Assumptions_1!$G8*UF_Assumptions_1!$F8</f>
        <v>33784.762834506182</v>
      </c>
      <c r="F76" s="285">
        <f>F59*UF_Assumptions_1!$G8*UF_Assumptions_1!$F8</f>
        <v>35734.081370261993</v>
      </c>
      <c r="G76" s="285">
        <f>G59*UF_Assumptions_1!$G8*UF_Assumptions_1!$F8</f>
        <v>37782.926230403427</v>
      </c>
      <c r="H76" s="285">
        <f>H59*UF_Assumptions_1!$G8*UF_Assumptions_1!$F8</f>
        <v>39910.890682114885</v>
      </c>
      <c r="I76" s="285">
        <f>I59*UF_Assumptions_1!$G8*UF_Assumptions_1!$F8</f>
        <v>42181.182194971159</v>
      </c>
      <c r="J76" s="285">
        <f>J59*UF_Assumptions_1!$G8*UF_Assumptions_1!$F8</f>
        <v>44580.606980834782</v>
      </c>
      <c r="K76" s="285">
        <f>K59*UF_Assumptions_1!$G8*UF_Assumptions_1!$F8</f>
        <v>47116.508905555907</v>
      </c>
      <c r="L76" s="299"/>
    </row>
    <row r="77" spans="1:16">
      <c r="A77" s="6" t="s">
        <v>9</v>
      </c>
      <c r="B77" s="285">
        <f>B60*UF_Assumptions_1!$G9*UF_Assumptions_1!$F9</f>
        <v>20558.54583663106</v>
      </c>
      <c r="C77" s="285">
        <f>C60*UF_Assumptions_1!$G9*UF_Assumptions_1!$F9</f>
        <v>22046.176429891348</v>
      </c>
      <c r="D77" s="285">
        <f>D60*UF_Assumptions_1!$G9*UF_Assumptions_1!$F9</f>
        <v>23593.622498416265</v>
      </c>
      <c r="E77" s="285">
        <f>E60*UF_Assumptions_1!$G9*UF_Assumptions_1!$F9</f>
        <v>25280.049367683652</v>
      </c>
      <c r="F77" s="285">
        <f>F60*UF_Assumptions_1!$G9*UF_Assumptions_1!$F9</f>
        <v>27067.519325668483</v>
      </c>
      <c r="G77" s="285">
        <f>G60*UF_Assumptions_1!$G9*UF_Assumptions_1!$F9</f>
        <v>29025.601064598322</v>
      </c>
      <c r="H77" s="285">
        <f>H60*UF_Assumptions_1!$G9*UF_Assumptions_1!$F9</f>
        <v>31124.896695766452</v>
      </c>
      <c r="I77" s="285">
        <f>I60*UF_Assumptions_1!$G9*UF_Assumptions_1!$F9</f>
        <v>33351.998018123246</v>
      </c>
      <c r="J77" s="285">
        <f>J60*UF_Assumptions_1!$G9*UF_Assumptions_1!$F9</f>
        <v>35738.448639502829</v>
      </c>
      <c r="K77" s="285">
        <f>K60*UF_Assumptions_1!$G9*UF_Assumptions_1!$F9</f>
        <v>38295.648943540458</v>
      </c>
      <c r="L77" s="299"/>
    </row>
    <row r="78" spans="1:16">
      <c r="A78" s="6" t="s">
        <v>10</v>
      </c>
      <c r="B78" s="285">
        <f>B61*UF_Assumptions_1!$G10*UF_Assumptions_1!$F10</f>
        <v>18522.992176900549</v>
      </c>
      <c r="C78" s="285">
        <f>C61*UF_Assumptions_1!$G10*UF_Assumptions_1!$F10</f>
        <v>19418.627310929034</v>
      </c>
      <c r="D78" s="285">
        <f>D61*UF_Assumptions_1!$G10*UF_Assumptions_1!$F10</f>
        <v>20296.090333440869</v>
      </c>
      <c r="E78" s="285">
        <f>E61*UF_Assumptions_1!$G10*UF_Assumptions_1!$F10</f>
        <v>21218.882023425394</v>
      </c>
      <c r="F78" s="285">
        <f>F61*UF_Assumptions_1!$G10*UF_Assumptions_1!$F10</f>
        <v>22230.843428114509</v>
      </c>
      <c r="G78" s="285">
        <f>G61*UF_Assumptions_1!$G10*UF_Assumptions_1!$F10</f>
        <v>23327.56505072103</v>
      </c>
      <c r="H78" s="285">
        <f>H61*UF_Assumptions_1!$G10*UF_Assumptions_1!$F10</f>
        <v>24548.053459033508</v>
      </c>
      <c r="I78" s="285">
        <f>I61*UF_Assumptions_1!$G10*UF_Assumptions_1!$F10</f>
        <v>25764.389096072493</v>
      </c>
      <c r="J78" s="285">
        <f>J61*UF_Assumptions_1!$G10*UF_Assumptions_1!$F10</f>
        <v>27040.987079267525</v>
      </c>
      <c r="K78" s="285">
        <f>K61*UF_Assumptions_1!$G10*UF_Assumptions_1!$F10</f>
        <v>28380.83238639211</v>
      </c>
      <c r="L78" s="299"/>
    </row>
    <row r="79" spans="1:16">
      <c r="A79" s="6" t="s">
        <v>18</v>
      </c>
      <c r="B79" s="285">
        <f>B62*UF_Assumptions_1!$G11*UF_Assumptions_1!$F11</f>
        <v>28743.913811321403</v>
      </c>
      <c r="C79" s="285">
        <f>C62*UF_Assumptions_1!$G11*UF_Assumptions_1!$F11</f>
        <v>30421.2930992865</v>
      </c>
      <c r="D79" s="285">
        <f>D62*UF_Assumptions_1!$G11*UF_Assumptions_1!$F11</f>
        <v>32221.904084166774</v>
      </c>
      <c r="E79" s="285">
        <f>E62*UF_Assumptions_1!$G11*UF_Assumptions_1!$F11</f>
        <v>34105.992228730938</v>
      </c>
      <c r="F79" s="285">
        <f>F62*UF_Assumptions_1!$G11*UF_Assumptions_1!$F11</f>
        <v>36176.2306668612</v>
      </c>
      <c r="G79" s="285">
        <f>G62*UF_Assumptions_1!$G11*UF_Assumptions_1!$F11</f>
        <v>38358.989722727805</v>
      </c>
      <c r="H79" s="285">
        <f>H62*UF_Assumptions_1!$G11*UF_Assumptions_1!$F11</f>
        <v>40634.510456072087</v>
      </c>
      <c r="I79" s="285">
        <f>I62*UF_Assumptions_1!$G11*UF_Assumptions_1!$F11</f>
        <v>43067.89296898328</v>
      </c>
      <c r="J79" s="285">
        <f>J62*UF_Assumptions_1!$G11*UF_Assumptions_1!$F11</f>
        <v>45646.987434600363</v>
      </c>
      <c r="K79" s="285">
        <f>K62*UF_Assumptions_1!$G11*UF_Assumptions_1!$F11</f>
        <v>48380.517901099833</v>
      </c>
      <c r="L79" s="299"/>
    </row>
    <row r="80" spans="1:16">
      <c r="A80" s="6" t="s">
        <v>16</v>
      </c>
      <c r="B80" s="285">
        <f>B63*UF_Assumptions_1!$G12*UF_Assumptions_1!$F12</f>
        <v>9637.1769998811087</v>
      </c>
      <c r="C80" s="285">
        <f>C63*UF_Assumptions_1!$G12*UF_Assumptions_1!$F12</f>
        <v>10083.87888270471</v>
      </c>
      <c r="D80" s="285">
        <f>D63*UF_Assumptions_1!$G12*UF_Assumptions_1!$F12</f>
        <v>10559.707107985336</v>
      </c>
      <c r="E80" s="285">
        <f>E63*UF_Assumptions_1!$G12*UF_Assumptions_1!$F12</f>
        <v>11060.948612131126</v>
      </c>
      <c r="F80" s="285">
        <f>F63*UF_Assumptions_1!$G12*UF_Assumptions_1!$F12</f>
        <v>11588.462412451476</v>
      </c>
      <c r="G80" s="285">
        <f>G63*UF_Assumptions_1!$G12*UF_Assumptions_1!$F12</f>
        <v>12148.56775369268</v>
      </c>
      <c r="H80" s="285">
        <f>H63*UF_Assumptions_1!$G12*UF_Assumptions_1!$F12</f>
        <v>12735.566684289943</v>
      </c>
      <c r="I80" s="285">
        <f>I63*UF_Assumptions_1!$G12*UF_Assumptions_1!$F12</f>
        <v>13345.373113401587</v>
      </c>
      <c r="J80" s="285">
        <f>J63*UF_Assumptions_1!$G12*UF_Assumptions_1!$F12</f>
        <v>13984.375250099914</v>
      </c>
      <c r="K80" s="285">
        <f>K63*UF_Assumptions_1!$G12*UF_Assumptions_1!$F12</f>
        <v>14653.970556324568</v>
      </c>
      <c r="L80" s="299"/>
    </row>
    <row r="81" spans="1:16">
      <c r="A81" s="6" t="s">
        <v>11</v>
      </c>
      <c r="B81" s="285">
        <f>B64*UF_Assumptions_1!$G13*UF_Assumptions_1!$F13</f>
        <v>6162.3948312992134</v>
      </c>
      <c r="C81" s="285">
        <f>C64*UF_Assumptions_1!$G13*UF_Assumptions_1!$F13</f>
        <v>6528.1718951976818</v>
      </c>
      <c r="D81" s="285">
        <f>D64*UF_Assumptions_1!$G13*UF_Assumptions_1!$F13</f>
        <v>6914.5689489756287</v>
      </c>
      <c r="E81" s="285">
        <f>E64*UF_Assumptions_1!$G13*UF_Assumptions_1!$F13</f>
        <v>7325.7972047563417</v>
      </c>
      <c r="F81" s="285">
        <f>F64*UF_Assumptions_1!$G13*UF_Assumptions_1!$F13</f>
        <v>7763.1434707868202</v>
      </c>
      <c r="G81" s="285">
        <f>G64*UF_Assumptions_1!$G13*UF_Assumptions_1!$F13</f>
        <v>8239.3125438307543</v>
      </c>
      <c r="H81" s="285">
        <f>H64*UF_Assumptions_1!$G13*UF_Assumptions_1!$F13</f>
        <v>8703.357178512957</v>
      </c>
      <c r="I81" s="285">
        <f>I64*UF_Assumptions_1!$G13*UF_Assumptions_1!$F13</f>
        <v>9215.849331781561</v>
      </c>
      <c r="J81" s="285">
        <f>J64*UF_Assumptions_1!$G13*UF_Assumptions_1!$F13</f>
        <v>9758.5170973466174</v>
      </c>
      <c r="K81" s="285">
        <f>K64*UF_Assumptions_1!$G13*UF_Assumptions_1!$F13</f>
        <v>10333.136956030772</v>
      </c>
      <c r="L81" s="299"/>
    </row>
    <row r="82" spans="1:16">
      <c r="A82" s="6" t="s">
        <v>13</v>
      </c>
      <c r="B82" s="285">
        <f>B65</f>
        <v>13015.934321462773</v>
      </c>
      <c r="C82" s="285">
        <f t="shared" ref="C82:K83" si="15">C65</f>
        <v>13476.024721270978</v>
      </c>
      <c r="D82" s="285">
        <f t="shared" si="15"/>
        <v>13923.220163679234</v>
      </c>
      <c r="E82" s="285">
        <f t="shared" si="15"/>
        <v>14458.753862211928</v>
      </c>
      <c r="F82" s="285">
        <f t="shared" si="15"/>
        <v>15047.036138730071</v>
      </c>
      <c r="G82" s="285">
        <f t="shared" si="15"/>
        <v>15608.734786912868</v>
      </c>
      <c r="H82" s="285">
        <f t="shared" si="15"/>
        <v>16159.948137089295</v>
      </c>
      <c r="I82" s="285">
        <f t="shared" si="15"/>
        <v>16766.700865673727</v>
      </c>
      <c r="J82" s="285">
        <f t="shared" si="15"/>
        <v>17396.231249972214</v>
      </c>
      <c r="K82" s="285">
        <f t="shared" si="15"/>
        <v>18049.393987394586</v>
      </c>
      <c r="L82" s="299"/>
    </row>
    <row r="83" spans="1:16">
      <c r="A83" s="6" t="s">
        <v>71</v>
      </c>
      <c r="B83" s="285">
        <f>B66</f>
        <v>28791.565066927964</v>
      </c>
      <c r="C83" s="285">
        <f t="shared" si="15"/>
        <v>30298.917575967578</v>
      </c>
      <c r="D83" s="285">
        <f t="shared" si="15"/>
        <v>31880.154947029732</v>
      </c>
      <c r="E83" s="285">
        <f t="shared" si="15"/>
        <v>33584.788311616554</v>
      </c>
      <c r="F83" s="285">
        <f t="shared" si="15"/>
        <v>35388.140800757341</v>
      </c>
      <c r="G83" s="285">
        <f t="shared" si="15"/>
        <v>37275.55331184082</v>
      </c>
      <c r="H83" s="285">
        <f t="shared" si="15"/>
        <v>39225.794609276592</v>
      </c>
      <c r="I83" s="285">
        <f t="shared" si="15"/>
        <v>41300.179658613044</v>
      </c>
      <c r="J83" s="285">
        <f t="shared" si="15"/>
        <v>43484.255035020928</v>
      </c>
      <c r="K83" s="285">
        <f t="shared" si="15"/>
        <v>45783.819883571348</v>
      </c>
      <c r="L83" s="299"/>
    </row>
    <row r="84" spans="1:16">
      <c r="A84" s="6" t="s">
        <v>166</v>
      </c>
      <c r="B84" s="285">
        <f>B67*(SUM(B72:B81)/SUM(B55:B64))</f>
        <v>41049.65244596039</v>
      </c>
      <c r="C84" s="285">
        <f t="shared" ref="C84:K84" si="16">C67*(SUM(C72:C81)/SUM(C55:C64))</f>
        <v>43418.911188016849</v>
      </c>
      <c r="D84" s="285">
        <f t="shared" si="16"/>
        <v>45837.279385463771</v>
      </c>
      <c r="E84" s="285">
        <f t="shared" si="16"/>
        <v>48426.35295035653</v>
      </c>
      <c r="F84" s="285">
        <f t="shared" si="16"/>
        <v>51200.063051652258</v>
      </c>
      <c r="G84" s="285">
        <f t="shared" si="16"/>
        <v>54154.868305980213</v>
      </c>
      <c r="H84" s="285">
        <f t="shared" si="16"/>
        <v>57193.509631989182</v>
      </c>
      <c r="I84" s="285">
        <f t="shared" si="16"/>
        <v>60444.553583906178</v>
      </c>
      <c r="J84" s="285">
        <f t="shared" si="16"/>
        <v>63881.729163664866</v>
      </c>
      <c r="K84" s="285">
        <f t="shared" si="16"/>
        <v>67515.775274193482</v>
      </c>
      <c r="L84" s="299"/>
      <c r="N84" s="269">
        <f>K84/(SUM(K72:K81)+K84)</f>
        <v>8.4731803434529504E-2</v>
      </c>
    </row>
    <row r="85" spans="1:16">
      <c r="A85" s="212" t="s">
        <v>218</v>
      </c>
      <c r="B85" s="285">
        <f t="shared" ref="B85:K86" si="17">B102</f>
        <v>0</v>
      </c>
      <c r="C85" s="285">
        <f t="shared" si="17"/>
        <v>0</v>
      </c>
      <c r="D85" s="285">
        <f t="shared" si="17"/>
        <v>0</v>
      </c>
      <c r="E85" s="285">
        <f t="shared" si="17"/>
        <v>0</v>
      </c>
      <c r="F85" s="285">
        <f t="shared" si="17"/>
        <v>0</v>
      </c>
      <c r="G85" s="285">
        <f t="shared" si="17"/>
        <v>0</v>
      </c>
      <c r="H85" s="285">
        <f t="shared" si="17"/>
        <v>0</v>
      </c>
      <c r="I85" s="285">
        <f t="shared" si="17"/>
        <v>0</v>
      </c>
      <c r="J85" s="285">
        <f t="shared" si="17"/>
        <v>0</v>
      </c>
      <c r="K85" s="285">
        <f t="shared" si="17"/>
        <v>0</v>
      </c>
      <c r="L85" s="299"/>
    </row>
    <row r="86" spans="1:16">
      <c r="A86" s="280" t="s">
        <v>276</v>
      </c>
      <c r="B86" s="285">
        <f t="shared" si="17"/>
        <v>0</v>
      </c>
      <c r="C86" s="285">
        <f t="shared" si="17"/>
        <v>0</v>
      </c>
      <c r="D86" s="285">
        <f t="shared" si="17"/>
        <v>0</v>
      </c>
      <c r="E86" s="285">
        <f t="shared" si="17"/>
        <v>0</v>
      </c>
      <c r="F86" s="285">
        <f t="shared" si="17"/>
        <v>0</v>
      </c>
      <c r="G86" s="285">
        <f t="shared" si="17"/>
        <v>0</v>
      </c>
      <c r="H86" s="285">
        <f t="shared" si="17"/>
        <v>0</v>
      </c>
      <c r="I86" s="285">
        <f t="shared" si="17"/>
        <v>0</v>
      </c>
      <c r="J86" s="285">
        <f t="shared" si="17"/>
        <v>0</v>
      </c>
      <c r="K86" s="285">
        <f t="shared" si="17"/>
        <v>0</v>
      </c>
      <c r="L86" s="299"/>
    </row>
    <row r="87" spans="1:16">
      <c r="A87" s="6" t="s">
        <v>98</v>
      </c>
      <c r="B87" s="285">
        <f>SUM(B72:B86)</f>
        <v>523557.71951996727</v>
      </c>
      <c r="C87" s="285">
        <f t="shared" ref="C87:K87" si="18">SUM(C72:C86)</f>
        <v>552984.21644581237</v>
      </c>
      <c r="D87" s="285">
        <f t="shared" si="18"/>
        <v>583525.20258857356</v>
      </c>
      <c r="E87" s="285">
        <f t="shared" si="18"/>
        <v>616949.2740379594</v>
      </c>
      <c r="F87" s="285">
        <f t="shared" si="18"/>
        <v>652745.66833391611</v>
      </c>
      <c r="G87" s="285">
        <f t="shared" si="18"/>
        <v>689831.9859483951</v>
      </c>
      <c r="H87" s="285">
        <f t="shared" si="18"/>
        <v>728816.43842554872</v>
      </c>
      <c r="I87" s="285">
        <f t="shared" si="18"/>
        <v>770324.43981158722</v>
      </c>
      <c r="J87" s="285">
        <f t="shared" si="18"/>
        <v>814222.8207325543</v>
      </c>
      <c r="K87" s="285">
        <f t="shared" si="18"/>
        <v>860650.61344822764</v>
      </c>
      <c r="L87" s="56">
        <f>(B87-B70)/$B$19</f>
        <v>-5.7674251069842628E-2</v>
      </c>
      <c r="M87" s="56">
        <f>(K87-K70)/$K$19</f>
        <v>-5.8537356652377505E-2</v>
      </c>
      <c r="P87" s="269"/>
    </row>
    <row r="88" spans="1:16">
      <c r="A88" s="210" t="s">
        <v>275</v>
      </c>
    </row>
    <row r="89" spans="1:16">
      <c r="A89" t="s">
        <v>4</v>
      </c>
      <c r="B89" s="88">
        <f>B72</f>
        <v>165880.5506391513</v>
      </c>
      <c r="C89" s="88">
        <f t="shared" ref="C89:K89" si="19">C72</f>
        <v>175726.6092627364</v>
      </c>
      <c r="D89" s="88">
        <f t="shared" si="19"/>
        <v>185951.96281232469</v>
      </c>
      <c r="E89" s="88">
        <f t="shared" si="19"/>
        <v>197197.06768056512</v>
      </c>
      <c r="F89" s="88">
        <f t="shared" si="19"/>
        <v>209758.9388741336</v>
      </c>
      <c r="G89" s="88">
        <f t="shared" si="19"/>
        <v>222205.30257865053</v>
      </c>
      <c r="H89" s="88">
        <f t="shared" si="19"/>
        <v>235386.90034052194</v>
      </c>
      <c r="I89" s="88">
        <f t="shared" si="19"/>
        <v>249639.91400908455</v>
      </c>
      <c r="J89" s="88">
        <f t="shared" si="19"/>
        <v>264755.90858937032</v>
      </c>
      <c r="K89" s="88">
        <f t="shared" si="19"/>
        <v>280787.12795358681</v>
      </c>
    </row>
    <row r="90" spans="1:16">
      <c r="A90" t="s">
        <v>5</v>
      </c>
      <c r="B90" s="88">
        <f t="shared" ref="B90:K100" si="20">B73</f>
        <v>123307.41600154391</v>
      </c>
      <c r="C90" s="88">
        <f t="shared" si="20"/>
        <v>130133.094511463</v>
      </c>
      <c r="D90" s="88">
        <f t="shared" si="20"/>
        <v>137314.93856080426</v>
      </c>
      <c r="E90" s="88">
        <f t="shared" si="20"/>
        <v>145344.05586989262</v>
      </c>
      <c r="F90" s="88">
        <f t="shared" si="20"/>
        <v>153439.25984875087</v>
      </c>
      <c r="G90" s="88">
        <f t="shared" si="20"/>
        <v>162083.34621511635</v>
      </c>
      <c r="H90" s="88">
        <f t="shared" si="20"/>
        <v>171212.00916877255</v>
      </c>
      <c r="I90" s="88">
        <f t="shared" si="20"/>
        <v>180779.98762015978</v>
      </c>
      <c r="J90" s="88">
        <f t="shared" si="20"/>
        <v>190882.61823768</v>
      </c>
      <c r="K90" s="88">
        <f t="shared" si="20"/>
        <v>201549.77200266745</v>
      </c>
    </row>
    <row r="91" spans="1:16">
      <c r="A91" t="s">
        <v>6</v>
      </c>
      <c r="B91" s="88">
        <f t="shared" si="20"/>
        <v>14626.271104258265</v>
      </c>
      <c r="C91" s="88">
        <f t="shared" si="20"/>
        <v>15435.907925739757</v>
      </c>
      <c r="D91" s="88">
        <f t="shared" si="20"/>
        <v>16287.791790477091</v>
      </c>
      <c r="E91" s="88">
        <f t="shared" si="20"/>
        <v>17174.995835898917</v>
      </c>
      <c r="F91" s="88">
        <f t="shared" si="20"/>
        <v>18114.402414597807</v>
      </c>
      <c r="G91" s="88">
        <f t="shared" si="20"/>
        <v>19116.767229106299</v>
      </c>
      <c r="H91" s="88">
        <f t="shared" si="20"/>
        <v>20155.193612657378</v>
      </c>
      <c r="I91" s="88">
        <f t="shared" si="20"/>
        <v>21254.663393457824</v>
      </c>
      <c r="J91" s="88">
        <f t="shared" si="20"/>
        <v>22414.104433228877</v>
      </c>
      <c r="K91" s="88">
        <f t="shared" si="20"/>
        <v>23636.787318984465</v>
      </c>
    </row>
    <row r="92" spans="1:16">
      <c r="A92" t="s">
        <v>7</v>
      </c>
      <c r="B92" s="88">
        <f t="shared" si="20"/>
        <v>24571.670330208708</v>
      </c>
      <c r="C92" s="88">
        <f t="shared" si="20"/>
        <v>25661.455126848854</v>
      </c>
      <c r="D92" s="88">
        <f t="shared" si="20"/>
        <v>26795.344684529435</v>
      </c>
      <c r="E92" s="88">
        <f t="shared" si="20"/>
        <v>27986.82725618406</v>
      </c>
      <c r="F92" s="88">
        <f t="shared" si="20"/>
        <v>29237.546531149557</v>
      </c>
      <c r="G92" s="88">
        <f t="shared" si="20"/>
        <v>30504.451154814011</v>
      </c>
      <c r="H92" s="88">
        <f t="shared" si="20"/>
        <v>31825.807769452083</v>
      </c>
      <c r="I92" s="88">
        <f t="shared" si="20"/>
        <v>33211.755957358786</v>
      </c>
      <c r="J92" s="88">
        <f t="shared" si="20"/>
        <v>34658.051541965069</v>
      </c>
      <c r="K92" s="88">
        <f t="shared" si="20"/>
        <v>36167.32137888587</v>
      </c>
    </row>
    <row r="93" spans="1:16">
      <c r="A93" t="s">
        <v>8</v>
      </c>
      <c r="B93" s="88">
        <f t="shared" si="20"/>
        <v>28689.635954420595</v>
      </c>
      <c r="C93" s="88">
        <f t="shared" si="20"/>
        <v>30335.148515759727</v>
      </c>
      <c r="D93" s="88">
        <f t="shared" si="20"/>
        <v>31948.617271280385</v>
      </c>
      <c r="E93" s="88">
        <f t="shared" si="20"/>
        <v>33784.762834506182</v>
      </c>
      <c r="F93" s="88">
        <f t="shared" si="20"/>
        <v>35734.081370261993</v>
      </c>
      <c r="G93" s="88">
        <f t="shared" si="20"/>
        <v>37782.926230403427</v>
      </c>
      <c r="H93" s="88">
        <f t="shared" si="20"/>
        <v>39910.890682114885</v>
      </c>
      <c r="I93" s="88">
        <f t="shared" si="20"/>
        <v>42181.182194971159</v>
      </c>
      <c r="J93" s="88">
        <f t="shared" si="20"/>
        <v>44580.606980834782</v>
      </c>
      <c r="K93" s="88">
        <f t="shared" si="20"/>
        <v>47116.508905555907</v>
      </c>
    </row>
    <row r="94" spans="1:16">
      <c r="A94" t="s">
        <v>9</v>
      </c>
      <c r="B94" s="88">
        <f t="shared" si="20"/>
        <v>20558.54583663106</v>
      </c>
      <c r="C94" s="88">
        <f t="shared" si="20"/>
        <v>22046.176429891348</v>
      </c>
      <c r="D94" s="88">
        <f t="shared" si="20"/>
        <v>23593.622498416265</v>
      </c>
      <c r="E94" s="88">
        <f t="shared" si="20"/>
        <v>25280.049367683652</v>
      </c>
      <c r="F94" s="88">
        <f t="shared" si="20"/>
        <v>27067.519325668483</v>
      </c>
      <c r="G94" s="88">
        <f t="shared" si="20"/>
        <v>29025.601064598322</v>
      </c>
      <c r="H94" s="88">
        <f t="shared" si="20"/>
        <v>31124.896695766452</v>
      </c>
      <c r="I94" s="88">
        <f t="shared" si="20"/>
        <v>33351.998018123246</v>
      </c>
      <c r="J94" s="88">
        <f t="shared" si="20"/>
        <v>35738.448639502829</v>
      </c>
      <c r="K94" s="88">
        <f t="shared" si="20"/>
        <v>38295.648943540458</v>
      </c>
    </row>
    <row r="95" spans="1:16">
      <c r="A95" t="s">
        <v>10</v>
      </c>
      <c r="B95" s="88">
        <f t="shared" si="20"/>
        <v>18522.992176900549</v>
      </c>
      <c r="C95" s="88">
        <f t="shared" si="20"/>
        <v>19418.627310929034</v>
      </c>
      <c r="D95" s="88">
        <f t="shared" si="20"/>
        <v>20296.090333440869</v>
      </c>
      <c r="E95" s="88">
        <f t="shared" si="20"/>
        <v>21218.882023425394</v>
      </c>
      <c r="F95" s="88">
        <f t="shared" si="20"/>
        <v>22230.843428114509</v>
      </c>
      <c r="G95" s="88">
        <f t="shared" si="20"/>
        <v>23327.56505072103</v>
      </c>
      <c r="H95" s="88">
        <f t="shared" si="20"/>
        <v>24548.053459033508</v>
      </c>
      <c r="I95" s="88">
        <f t="shared" si="20"/>
        <v>25764.389096072493</v>
      </c>
      <c r="J95" s="88">
        <f t="shared" si="20"/>
        <v>27040.987079267525</v>
      </c>
      <c r="K95" s="88">
        <f t="shared" si="20"/>
        <v>28380.83238639211</v>
      </c>
    </row>
    <row r="96" spans="1:16">
      <c r="A96" t="s">
        <v>18</v>
      </c>
      <c r="B96" s="88">
        <f t="shared" si="20"/>
        <v>28743.913811321403</v>
      </c>
      <c r="C96" s="88">
        <f t="shared" si="20"/>
        <v>30421.2930992865</v>
      </c>
      <c r="D96" s="88">
        <f t="shared" si="20"/>
        <v>32221.904084166774</v>
      </c>
      <c r="E96" s="88">
        <f t="shared" si="20"/>
        <v>34105.992228730938</v>
      </c>
      <c r="F96" s="88">
        <f t="shared" si="20"/>
        <v>36176.2306668612</v>
      </c>
      <c r="G96" s="88">
        <f t="shared" si="20"/>
        <v>38358.989722727805</v>
      </c>
      <c r="H96" s="88">
        <f t="shared" si="20"/>
        <v>40634.510456072087</v>
      </c>
      <c r="I96" s="88">
        <f t="shared" si="20"/>
        <v>43067.89296898328</v>
      </c>
      <c r="J96" s="88">
        <f t="shared" si="20"/>
        <v>45646.987434600363</v>
      </c>
      <c r="K96" s="88">
        <f t="shared" si="20"/>
        <v>48380.517901099833</v>
      </c>
    </row>
    <row r="97" spans="1:16">
      <c r="A97" t="s">
        <v>16</v>
      </c>
      <c r="B97" s="88">
        <f t="shared" si="20"/>
        <v>9637.1769998811087</v>
      </c>
      <c r="C97" s="88">
        <f t="shared" si="20"/>
        <v>10083.87888270471</v>
      </c>
      <c r="D97" s="88">
        <f t="shared" si="20"/>
        <v>10559.707107985336</v>
      </c>
      <c r="E97" s="88">
        <f t="shared" si="20"/>
        <v>11060.948612131126</v>
      </c>
      <c r="F97" s="88">
        <f t="shared" si="20"/>
        <v>11588.462412451476</v>
      </c>
      <c r="G97" s="88">
        <f t="shared" si="20"/>
        <v>12148.56775369268</v>
      </c>
      <c r="H97" s="88">
        <f t="shared" si="20"/>
        <v>12735.566684289943</v>
      </c>
      <c r="I97" s="88">
        <f t="shared" si="20"/>
        <v>13345.373113401587</v>
      </c>
      <c r="J97" s="88">
        <f t="shared" si="20"/>
        <v>13984.375250099914</v>
      </c>
      <c r="K97" s="88">
        <f t="shared" si="20"/>
        <v>14653.970556324568</v>
      </c>
    </row>
    <row r="98" spans="1:16">
      <c r="A98" t="s">
        <v>11</v>
      </c>
      <c r="B98" s="88">
        <f t="shared" si="20"/>
        <v>6162.3948312992134</v>
      </c>
      <c r="C98" s="88">
        <f t="shared" si="20"/>
        <v>6528.1718951976818</v>
      </c>
      <c r="D98" s="88">
        <f t="shared" si="20"/>
        <v>6914.5689489756287</v>
      </c>
      <c r="E98" s="88">
        <f t="shared" si="20"/>
        <v>7325.7972047563417</v>
      </c>
      <c r="F98" s="88">
        <f t="shared" si="20"/>
        <v>7763.1434707868202</v>
      </c>
      <c r="G98" s="88">
        <f t="shared" si="20"/>
        <v>8239.3125438307543</v>
      </c>
      <c r="H98" s="88">
        <f t="shared" si="20"/>
        <v>8703.357178512957</v>
      </c>
      <c r="I98" s="88">
        <f t="shared" si="20"/>
        <v>9215.849331781561</v>
      </c>
      <c r="J98" s="88">
        <f t="shared" si="20"/>
        <v>9758.5170973466174</v>
      </c>
      <c r="K98" s="88">
        <f t="shared" si="20"/>
        <v>10333.136956030772</v>
      </c>
    </row>
    <row r="99" spans="1:16">
      <c r="A99" t="s">
        <v>13</v>
      </c>
      <c r="B99" s="88">
        <f t="shared" si="20"/>
        <v>13015.934321462773</v>
      </c>
      <c r="C99" s="88">
        <f t="shared" si="20"/>
        <v>13476.024721270978</v>
      </c>
      <c r="D99" s="88">
        <f t="shared" si="20"/>
        <v>13923.220163679234</v>
      </c>
      <c r="E99" s="88">
        <f t="shared" si="20"/>
        <v>14458.753862211928</v>
      </c>
      <c r="F99" s="88">
        <f t="shared" si="20"/>
        <v>15047.036138730071</v>
      </c>
      <c r="G99" s="88">
        <f t="shared" si="20"/>
        <v>15608.734786912868</v>
      </c>
      <c r="H99" s="88">
        <f t="shared" si="20"/>
        <v>16159.948137089295</v>
      </c>
      <c r="I99" s="88">
        <f t="shared" si="20"/>
        <v>16766.700865673727</v>
      </c>
      <c r="J99" s="88">
        <f t="shared" si="20"/>
        <v>17396.231249972214</v>
      </c>
      <c r="K99" s="88">
        <f t="shared" si="20"/>
        <v>18049.393987394586</v>
      </c>
    </row>
    <row r="100" spans="1:16">
      <c r="A100" s="6" t="s">
        <v>71</v>
      </c>
      <c r="B100" s="88">
        <f t="shared" si="20"/>
        <v>28791.565066927964</v>
      </c>
      <c r="C100" s="88">
        <f t="shared" si="20"/>
        <v>30298.917575967578</v>
      </c>
      <c r="D100" s="88">
        <f t="shared" si="20"/>
        <v>31880.154947029732</v>
      </c>
      <c r="E100" s="88">
        <f t="shared" si="20"/>
        <v>33584.788311616554</v>
      </c>
      <c r="F100" s="88">
        <f t="shared" si="20"/>
        <v>35388.140800757341</v>
      </c>
      <c r="G100" s="88">
        <f t="shared" si="20"/>
        <v>37275.55331184082</v>
      </c>
      <c r="H100" s="88">
        <f t="shared" si="20"/>
        <v>39225.794609276592</v>
      </c>
      <c r="I100" s="88">
        <f t="shared" si="20"/>
        <v>41300.179658613044</v>
      </c>
      <c r="J100" s="88">
        <f t="shared" si="20"/>
        <v>43484.255035020928</v>
      </c>
      <c r="K100" s="88">
        <f t="shared" si="20"/>
        <v>45783.819883571348</v>
      </c>
    </row>
    <row r="101" spans="1:16">
      <c r="A101" s="6" t="s">
        <v>166</v>
      </c>
      <c r="B101" s="88">
        <f>B84*(SUM(B89:B98)/SUM(B72:B81))</f>
        <v>41049.65244596039</v>
      </c>
      <c r="C101" s="88">
        <f t="shared" ref="C101:K101" si="21">C84*(SUM(C89:C98)/SUM(C72:C81))</f>
        <v>43418.911188016849</v>
      </c>
      <c r="D101" s="88">
        <f t="shared" si="21"/>
        <v>45837.279385463771</v>
      </c>
      <c r="E101" s="88">
        <f t="shared" si="21"/>
        <v>48426.35295035653</v>
      </c>
      <c r="F101" s="88">
        <f t="shared" si="21"/>
        <v>51200.063051652258</v>
      </c>
      <c r="G101" s="88">
        <f t="shared" si="21"/>
        <v>54154.868305980213</v>
      </c>
      <c r="H101" s="88">
        <f t="shared" si="21"/>
        <v>57193.509631989182</v>
      </c>
      <c r="I101" s="88">
        <f t="shared" si="21"/>
        <v>60444.553583906178</v>
      </c>
      <c r="J101" s="88">
        <f t="shared" si="21"/>
        <v>63881.729163664866</v>
      </c>
      <c r="K101" s="88">
        <f t="shared" si="21"/>
        <v>67515.775274193482</v>
      </c>
      <c r="N101" s="269">
        <f>K101/(SUM(K89:K98)+K101)</f>
        <v>8.4731803434529504E-2</v>
      </c>
    </row>
    <row r="102" spans="1:16">
      <c r="A102" s="212" t="s">
        <v>218</v>
      </c>
      <c r="B102" s="88">
        <f t="shared" ref="B102:K103" si="22">B68</f>
        <v>0</v>
      </c>
      <c r="C102" s="88">
        <f t="shared" si="22"/>
        <v>0</v>
      </c>
      <c r="D102" s="88">
        <f t="shared" si="22"/>
        <v>0</v>
      </c>
      <c r="E102" s="88">
        <f t="shared" si="22"/>
        <v>0</v>
      </c>
      <c r="F102" s="88">
        <f t="shared" si="22"/>
        <v>0</v>
      </c>
      <c r="G102" s="88">
        <f t="shared" si="22"/>
        <v>0</v>
      </c>
      <c r="H102" s="88">
        <f t="shared" si="22"/>
        <v>0</v>
      </c>
      <c r="I102" s="88">
        <f t="shared" si="22"/>
        <v>0</v>
      </c>
      <c r="J102" s="88">
        <f t="shared" si="22"/>
        <v>0</v>
      </c>
      <c r="K102" s="88">
        <f t="shared" si="22"/>
        <v>0</v>
      </c>
    </row>
    <row r="103" spans="1:16">
      <c r="A103" s="211" t="s">
        <v>276</v>
      </c>
      <c r="B103" s="88">
        <f t="shared" si="22"/>
        <v>0</v>
      </c>
      <c r="C103" s="88">
        <f t="shared" si="22"/>
        <v>0</v>
      </c>
      <c r="D103" s="88">
        <f t="shared" si="22"/>
        <v>0</v>
      </c>
      <c r="E103" s="88">
        <f t="shared" si="22"/>
        <v>0</v>
      </c>
      <c r="F103" s="88">
        <f t="shared" si="22"/>
        <v>0</v>
      </c>
      <c r="G103" s="88">
        <f t="shared" si="22"/>
        <v>0</v>
      </c>
      <c r="H103" s="88">
        <f t="shared" si="22"/>
        <v>0</v>
      </c>
      <c r="I103" s="88">
        <f t="shared" si="22"/>
        <v>0</v>
      </c>
      <c r="J103" s="88">
        <f t="shared" si="22"/>
        <v>0</v>
      </c>
      <c r="K103" s="88">
        <f t="shared" si="22"/>
        <v>0</v>
      </c>
    </row>
    <row r="104" spans="1:16">
      <c r="A104" s="6" t="s">
        <v>98</v>
      </c>
      <c r="B104" s="88">
        <f>SUM(B89:B103)</f>
        <v>523557.71951996727</v>
      </c>
      <c r="C104" s="88">
        <f t="shared" ref="C104:K104" si="23">SUM(C89:C103)</f>
        <v>552984.21644581237</v>
      </c>
      <c r="D104" s="88">
        <f t="shared" si="23"/>
        <v>583525.20258857356</v>
      </c>
      <c r="E104" s="88">
        <f t="shared" si="23"/>
        <v>616949.2740379594</v>
      </c>
      <c r="F104" s="88">
        <f t="shared" si="23"/>
        <v>652745.66833391611</v>
      </c>
      <c r="G104" s="88">
        <f t="shared" si="23"/>
        <v>689831.9859483951</v>
      </c>
      <c r="H104" s="88">
        <f t="shared" si="23"/>
        <v>728816.43842554872</v>
      </c>
      <c r="I104" s="88">
        <f t="shared" si="23"/>
        <v>770324.43981158722</v>
      </c>
      <c r="J104" s="88">
        <f t="shared" si="23"/>
        <v>814222.8207325543</v>
      </c>
      <c r="K104" s="88">
        <f t="shared" si="23"/>
        <v>860650.61344822764</v>
      </c>
      <c r="L104" s="56">
        <f>(B104-B87)/$B$19</f>
        <v>0</v>
      </c>
      <c r="M104" s="56">
        <f>(K104-K87)/$K$19</f>
        <v>0</v>
      </c>
      <c r="P104" s="269"/>
    </row>
    <row r="105" spans="1:16" s="6" customFormat="1">
      <c r="A105" s="210" t="s">
        <v>361</v>
      </c>
      <c r="B105" s="285"/>
      <c r="C105" s="285"/>
      <c r="D105" s="285"/>
      <c r="E105" s="285"/>
      <c r="F105" s="285"/>
      <c r="G105" s="285"/>
      <c r="H105" s="285"/>
      <c r="I105" s="285"/>
      <c r="J105" s="285"/>
      <c r="K105" s="285"/>
      <c r="L105" s="299"/>
      <c r="M105" s="299"/>
    </row>
    <row r="106" spans="1:16">
      <c r="A106" t="s">
        <v>4</v>
      </c>
      <c r="B106" s="88">
        <f>B89*UF_Assumptions_1!$J4</f>
        <v>162453.2654677745</v>
      </c>
      <c r="C106" s="88">
        <f>C89*UF_Assumptions_1!$J4</f>
        <v>172095.89306471363</v>
      </c>
      <c r="D106" s="88">
        <f>D89*UF_Assumptions_1!$J4</f>
        <v>182109.97891319075</v>
      </c>
      <c r="E106" s="88">
        <f>E89*UF_Assumptions_1!$J4</f>
        <v>193122.74683163807</v>
      </c>
      <c r="F106" s="88">
        <f>F89*UF_Assumptions_1!$J4</f>
        <v>205425.07515112896</v>
      </c>
      <c r="G106" s="88">
        <f>G89*UF_Assumptions_1!$J4</f>
        <v>217614.28250068027</v>
      </c>
      <c r="H106" s="88">
        <f>H89*UF_Assumptions_1!$J4</f>
        <v>230523.53311654663</v>
      </c>
      <c r="I106" s="88">
        <f>I89*UF_Assumptions_1!$J4</f>
        <v>244482.06293992381</v>
      </c>
      <c r="J106" s="88">
        <f>J89*UF_Assumptions_1!$J4</f>
        <v>259285.74348534527</v>
      </c>
      <c r="K106" s="88">
        <f>K89*UF_Assumptions_1!$J4</f>
        <v>274985.73920583521</v>
      </c>
    </row>
    <row r="107" spans="1:16">
      <c r="A107" t="s">
        <v>5</v>
      </c>
      <c r="B107" s="88">
        <f>B90*UF_Assumptions_1!$J5</f>
        <v>119740.67145279273</v>
      </c>
      <c r="C107" s="88">
        <f>C90*UF_Assumptions_1!$J5</f>
        <v>126368.91291953773</v>
      </c>
      <c r="D107" s="88">
        <f>D90*UF_Assumptions_1!$J5</f>
        <v>133343.01761350519</v>
      </c>
      <c r="E107" s="88">
        <f>E90*UF_Assumptions_1!$J5</f>
        <v>141139.88765538039</v>
      </c>
      <c r="F107" s="88">
        <f>F90*UF_Assumptions_1!$J5</f>
        <v>149000.9327685443</v>
      </c>
      <c r="G107" s="88">
        <f>G90*UF_Assumptions_1!$J5</f>
        <v>157394.9835009964</v>
      </c>
      <c r="H107" s="88">
        <f>H90*UF_Assumptions_1!$J5</f>
        <v>166259.59413822962</v>
      </c>
      <c r="I107" s="88">
        <f>I90*UF_Assumptions_1!$J5</f>
        <v>175550.81279616186</v>
      </c>
      <c r="J107" s="88">
        <f>J90*UF_Assumptions_1!$J5</f>
        <v>185361.21847010986</v>
      </c>
      <c r="K107" s="88">
        <f>K90*UF_Assumptions_1!$J5</f>
        <v>195719.81810448863</v>
      </c>
    </row>
    <row r="108" spans="1:16">
      <c r="A108" t="s">
        <v>6</v>
      </c>
      <c r="B108" s="88">
        <f>B91*UF_Assumptions_1!$J6</f>
        <v>14324.075326181735</v>
      </c>
      <c r="C108" s="88">
        <f>C91*UF_Assumptions_1!$J6</f>
        <v>15116.984108952405</v>
      </c>
      <c r="D108" s="88">
        <f>D91*UF_Assumptions_1!$J6</f>
        <v>15951.267061912562</v>
      </c>
      <c r="E108" s="88">
        <f>E91*UF_Assumptions_1!$J6</f>
        <v>16820.140439530696</v>
      </c>
      <c r="F108" s="88">
        <f>F91*UF_Assumptions_1!$J6</f>
        <v>17740.137785352897</v>
      </c>
      <c r="G108" s="88">
        <f>G91*UF_Assumptions_1!$J6</f>
        <v>18721.792576583568</v>
      </c>
      <c r="H108" s="88">
        <f>H91*UF_Assumptions_1!$J6</f>
        <v>19738.763862884258</v>
      </c>
      <c r="I108" s="88">
        <f>I91*UF_Assumptions_1!$J6</f>
        <v>20815.51731882567</v>
      </c>
      <c r="J108" s="88">
        <f>J91*UF_Assumptions_1!$J6</f>
        <v>21951.002957753273</v>
      </c>
      <c r="K108" s="88">
        <f>K91*UF_Assumptions_1!$J6</f>
        <v>23148.423792548092</v>
      </c>
    </row>
    <row r="109" spans="1:16">
      <c r="A109" t="s">
        <v>7</v>
      </c>
      <c r="B109" s="88">
        <f>B92*UF_Assumptions_1!$J7</f>
        <v>24063.991033062659</v>
      </c>
      <c r="C109" s="88">
        <f>C92*UF_Assumptions_1!$J7</f>
        <v>25131.259607884604</v>
      </c>
      <c r="D109" s="88">
        <f>D92*UF_Assumptions_1!$J7</f>
        <v>26241.721688069818</v>
      </c>
      <c r="E109" s="88">
        <f>E92*UF_Assumptions_1!$J7</f>
        <v>27408.586843553279</v>
      </c>
      <c r="F109" s="88">
        <f>F92*UF_Assumptions_1!$J7</f>
        <v>28633.464803137751</v>
      </c>
      <c r="G109" s="88">
        <f>G92*UF_Assumptions_1!$J7</f>
        <v>29874.193703286073</v>
      </c>
      <c r="H109" s="88">
        <f>H92*UF_Assumptions_1!$J7</f>
        <v>31168.249552921858</v>
      </c>
      <c r="I109" s="88">
        <f>I92*UF_Assumptions_1!$J7</f>
        <v>32525.562438772911</v>
      </c>
      <c r="J109" s="88">
        <f>J92*UF_Assumptions_1!$J7</f>
        <v>33941.97587389603</v>
      </c>
      <c r="K109" s="88">
        <f>K92*UF_Assumptions_1!$J7</f>
        <v>35420.062440012909</v>
      </c>
    </row>
    <row r="110" spans="1:16">
      <c r="A110" t="s">
        <v>8</v>
      </c>
      <c r="B110" s="88">
        <f>B93*UF_Assumptions_1!$J8</f>
        <v>28096.874696395342</v>
      </c>
      <c r="C110" s="88">
        <f>C93*UF_Assumptions_1!$J8</f>
        <v>29708.389053731284</v>
      </c>
      <c r="D110" s="88">
        <f>D93*UF_Assumptions_1!$J8</f>
        <v>31288.521667558602</v>
      </c>
      <c r="E110" s="88">
        <f>E93*UF_Assumptions_1!$J8</f>
        <v>33086.730327168603</v>
      </c>
      <c r="F110" s="88">
        <f>F93*UF_Assumptions_1!$J8</f>
        <v>34995.773674024058</v>
      </c>
      <c r="G110" s="88">
        <f>G93*UF_Assumptions_1!$J8</f>
        <v>37002.28701560857</v>
      </c>
      <c r="H110" s="88">
        <f>H93*UF_Assumptions_1!$J8</f>
        <v>39086.285245948886</v>
      </c>
      <c r="I110" s="88">
        <f>I93*UF_Assumptions_1!$J8</f>
        <v>41309.669894759107</v>
      </c>
      <c r="J110" s="88">
        <f>J93*UF_Assumptions_1!$J8</f>
        <v>43659.519772915119</v>
      </c>
      <c r="K110" s="88">
        <f>K93*UF_Assumptions_1!$J8</f>
        <v>46143.02701345431</v>
      </c>
    </row>
    <row r="111" spans="1:16">
      <c r="A111" t="s">
        <v>9</v>
      </c>
      <c r="B111" s="88">
        <f>B94*UF_Assumptions_1!$J9</f>
        <v>20133.782360626981</v>
      </c>
      <c r="C111" s="88">
        <f>C94*UF_Assumptions_1!$J9</f>
        <v>21590.676775033739</v>
      </c>
      <c r="D111" s="88">
        <f>D94*UF_Assumptions_1!$J9</f>
        <v>23106.150807393318</v>
      </c>
      <c r="E111" s="88">
        <f>E94*UF_Assumptions_1!$J9</f>
        <v>24757.734135453607</v>
      </c>
      <c r="F111" s="88">
        <f>F94*UF_Assumptions_1!$J9</f>
        <v>26508.272884458976</v>
      </c>
      <c r="G111" s="88">
        <f>G94*UF_Assumptions_1!$J9</f>
        <v>28425.898376515262</v>
      </c>
      <c r="H111" s="88">
        <f>H94*UF_Assumptions_1!$J9</f>
        <v>30481.820117499668</v>
      </c>
      <c r="I111" s="88">
        <f>I94*UF_Assumptions_1!$J9</f>
        <v>32662.906935396131</v>
      </c>
      <c r="J111" s="88">
        <f>J94*UF_Assumptions_1!$J9</f>
        <v>35000.050710401243</v>
      </c>
      <c r="K111" s="88">
        <f>K94*UF_Assumptions_1!$J9</f>
        <v>37504.416280960482</v>
      </c>
    </row>
    <row r="112" spans="1:16">
      <c r="A112" t="s">
        <v>10</v>
      </c>
      <c r="B112" s="88">
        <f>B95*UF_Assumptions_1!$J10</f>
        <v>18140.285607789145</v>
      </c>
      <c r="C112" s="88">
        <f>C95*UF_Assumptions_1!$J10</f>
        <v>19017.415877914103</v>
      </c>
      <c r="D112" s="88">
        <f>D95*UF_Assumptions_1!$J10</f>
        <v>19876.749493488842</v>
      </c>
      <c r="E112" s="88">
        <f>E95*UF_Assumptions_1!$J10</f>
        <v>20780.475233528257</v>
      </c>
      <c r="F112" s="88">
        <f>F95*UF_Assumptions_1!$J10</f>
        <v>21771.528338221182</v>
      </c>
      <c r="G112" s="88">
        <f>G95*UF_Assumptions_1!$J10</f>
        <v>22845.590416114323</v>
      </c>
      <c r="H112" s="88">
        <f>H95*UF_Assumptions_1!$J10</f>
        <v>24040.862113923195</v>
      </c>
      <c r="I112" s="88">
        <f>I95*UF_Assumptions_1!$J10</f>
        <v>25232.066841544656</v>
      </c>
      <c r="J112" s="88">
        <f>J95*UF_Assumptions_1!$J10</f>
        <v>26482.288825137835</v>
      </c>
      <c r="K112" s="88">
        <f>K95*UF_Assumptions_1!$J10</f>
        <v>27794.45136936253</v>
      </c>
    </row>
    <row r="113" spans="1:16">
      <c r="A113" t="s">
        <v>18</v>
      </c>
      <c r="B113" s="88">
        <f>B96*UF_Assumptions_1!$J11</f>
        <v>28600.194242264795</v>
      </c>
      <c r="C113" s="88">
        <f>C96*UF_Assumptions_1!$J11</f>
        <v>30269.186633790068</v>
      </c>
      <c r="D113" s="88">
        <f>D96*UF_Assumptions_1!$J11</f>
        <v>32060.794563745942</v>
      </c>
      <c r="E113" s="88">
        <f>E96*UF_Assumptions_1!$J11</f>
        <v>33935.462267587282</v>
      </c>
      <c r="F113" s="88">
        <f>F96*UF_Assumptions_1!$J11</f>
        <v>35995.349513526897</v>
      </c>
      <c r="G113" s="88">
        <f>G96*UF_Assumptions_1!$J11</f>
        <v>38167.194774114163</v>
      </c>
      <c r="H113" s="88">
        <f>H96*UF_Assumptions_1!$J11</f>
        <v>40431.337903791726</v>
      </c>
      <c r="I113" s="88">
        <f>I96*UF_Assumptions_1!$J11</f>
        <v>42852.553504138363</v>
      </c>
      <c r="J113" s="88">
        <f>J96*UF_Assumptions_1!$J11</f>
        <v>45418.752497427362</v>
      </c>
      <c r="K113" s="88">
        <f>K96*UF_Assumptions_1!$J11</f>
        <v>48138.615311594331</v>
      </c>
    </row>
    <row r="114" spans="1:16">
      <c r="A114" t="s">
        <v>16</v>
      </c>
      <c r="B114" s="88">
        <f>B97*UF_Assumptions_1!$J12</f>
        <v>9438.0617106060163</v>
      </c>
      <c r="C114" s="88">
        <f>C97*UF_Assumptions_1!$J12</f>
        <v>9875.5342128112843</v>
      </c>
      <c r="D114" s="88">
        <f>D97*UF_Assumptions_1!$J12</f>
        <v>10341.531273351118</v>
      </c>
      <c r="E114" s="88">
        <f>E97*UF_Assumptions_1!$J12</f>
        <v>10832.41654484746</v>
      </c>
      <c r="F114" s="88">
        <f>F97*UF_Assumptions_1!$J12</f>
        <v>11349.031296312665</v>
      </c>
      <c r="G114" s="88">
        <f>G97*UF_Assumptions_1!$J12</f>
        <v>11897.564209544385</v>
      </c>
      <c r="H114" s="88">
        <f>H97*UF_Assumptions_1!$J12</f>
        <v>12472.43505928649</v>
      </c>
      <c r="I114" s="88">
        <f>I97*UF_Assumptions_1!$J12</f>
        <v>13069.642178088085</v>
      </c>
      <c r="J114" s="88">
        <f>J97*UF_Assumptions_1!$J12</f>
        <v>13695.44178718962</v>
      </c>
      <c r="K114" s="88">
        <f>K97*UF_Assumptions_1!$J12</f>
        <v>14351.202475341179</v>
      </c>
    </row>
    <row r="115" spans="1:16">
      <c r="A115" t="s">
        <v>11</v>
      </c>
      <c r="B115" s="88">
        <f>B98*UF_Assumptions_1!$J13</f>
        <v>6035.072584392613</v>
      </c>
      <c r="C115" s="88">
        <f>C98*UF_Assumptions_1!$J13</f>
        <v>6393.2922685844269</v>
      </c>
      <c r="D115" s="88">
        <f>D98*UF_Assumptions_1!$J13</f>
        <v>6771.7059096743023</v>
      </c>
      <c r="E115" s="88">
        <f>E98*UF_Assumptions_1!$J13</f>
        <v>7174.4377112434886</v>
      </c>
      <c r="F115" s="88">
        <f>F98*UF_Assumptions_1!$J13</f>
        <v>7602.7478945834537</v>
      </c>
      <c r="G115" s="88">
        <f>G98*UF_Assumptions_1!$J13</f>
        <v>8069.078760575243</v>
      </c>
      <c r="H115" s="88">
        <f>H98*UF_Assumptions_1!$J13</f>
        <v>8523.5356932081377</v>
      </c>
      <c r="I115" s="88">
        <f>I98*UF_Assumptions_1!$J13</f>
        <v>9025.4391623267511</v>
      </c>
      <c r="J115" s="88">
        <f>J98*UF_Assumptions_1!$J13</f>
        <v>9556.8947804836935</v>
      </c>
      <c r="K115" s="88">
        <f>K98*UF_Assumptions_1!$J13</f>
        <v>10119.642324340954</v>
      </c>
    </row>
    <row r="116" spans="1:16">
      <c r="A116" t="s">
        <v>13</v>
      </c>
      <c r="B116" s="88">
        <f>B99</f>
        <v>13015.934321462773</v>
      </c>
      <c r="C116" s="88">
        <f t="shared" ref="C116:K117" si="24">C99</f>
        <v>13476.024721270978</v>
      </c>
      <c r="D116" s="88">
        <f t="shared" si="24"/>
        <v>13923.220163679234</v>
      </c>
      <c r="E116" s="88">
        <f t="shared" si="24"/>
        <v>14458.753862211928</v>
      </c>
      <c r="F116" s="88">
        <f t="shared" si="24"/>
        <v>15047.036138730071</v>
      </c>
      <c r="G116" s="88">
        <f t="shared" si="24"/>
        <v>15608.734786912868</v>
      </c>
      <c r="H116" s="88">
        <f t="shared" si="24"/>
        <v>16159.948137089295</v>
      </c>
      <c r="I116" s="88">
        <f t="shared" si="24"/>
        <v>16766.700865673727</v>
      </c>
      <c r="J116" s="88">
        <f t="shared" si="24"/>
        <v>17396.231249972214</v>
      </c>
      <c r="K116" s="88">
        <f t="shared" si="24"/>
        <v>18049.393987394586</v>
      </c>
    </row>
    <row r="117" spans="1:16">
      <c r="A117" s="6" t="s">
        <v>71</v>
      </c>
      <c r="B117" s="88">
        <f>B100</f>
        <v>28791.565066927964</v>
      </c>
      <c r="C117" s="88">
        <f t="shared" si="24"/>
        <v>30298.917575967578</v>
      </c>
      <c r="D117" s="88">
        <f t="shared" si="24"/>
        <v>31880.154947029732</v>
      </c>
      <c r="E117" s="88">
        <f t="shared" si="24"/>
        <v>33584.788311616554</v>
      </c>
      <c r="F117" s="88">
        <f t="shared" si="24"/>
        <v>35388.140800757341</v>
      </c>
      <c r="G117" s="88">
        <f t="shared" si="24"/>
        <v>37275.55331184082</v>
      </c>
      <c r="H117" s="88">
        <f t="shared" si="24"/>
        <v>39225.794609276592</v>
      </c>
      <c r="I117" s="88">
        <f t="shared" si="24"/>
        <v>41300.179658613044</v>
      </c>
      <c r="J117" s="88">
        <f t="shared" si="24"/>
        <v>43484.255035020928</v>
      </c>
      <c r="K117" s="88">
        <f t="shared" si="24"/>
        <v>45783.819883571348</v>
      </c>
    </row>
    <row r="118" spans="1:16">
      <c r="A118" s="6" t="s">
        <v>166</v>
      </c>
      <c r="B118" s="285">
        <f>B101*(SUM(B106:B115)/SUM(B89:B98))</f>
        <v>40148.52727664425</v>
      </c>
      <c r="C118" s="285">
        <f t="shared" ref="C118:K118" si="25">C101*(SUM(C106:C115)/SUM(C89:C98))</f>
        <v>42465.985406099964</v>
      </c>
      <c r="D118" s="285">
        <f t="shared" si="25"/>
        <v>44831.501181622014</v>
      </c>
      <c r="E118" s="285">
        <f t="shared" si="25"/>
        <v>47363.744474658786</v>
      </c>
      <c r="F118" s="285">
        <f t="shared" si="25"/>
        <v>50077.03547115242</v>
      </c>
      <c r="G118" s="285">
        <f t="shared" si="25"/>
        <v>52967.315514376991</v>
      </c>
      <c r="H118" s="285">
        <f t="shared" si="25"/>
        <v>55939.563378292551</v>
      </c>
      <c r="I118" s="285">
        <f t="shared" si="25"/>
        <v>59119.698863902093</v>
      </c>
      <c r="J118" s="285">
        <f t="shared" si="25"/>
        <v>62481.92905576928</v>
      </c>
      <c r="K118" s="285">
        <f t="shared" si="25"/>
        <v>66036.76131426639</v>
      </c>
      <c r="L118" s="299"/>
      <c r="M118" s="299"/>
      <c r="N118" s="261">
        <f>K118/(SUM(K106:K115)+K118)</f>
        <v>8.4731803434529504E-2</v>
      </c>
    </row>
    <row r="119" spans="1:16">
      <c r="A119" s="212" t="s">
        <v>218</v>
      </c>
      <c r="B119" s="88">
        <f t="shared" ref="B119:K120" si="26">B136</f>
        <v>0</v>
      </c>
      <c r="C119" s="88">
        <f t="shared" si="26"/>
        <v>0</v>
      </c>
      <c r="D119" s="88">
        <f t="shared" si="26"/>
        <v>0</v>
      </c>
      <c r="E119" s="88">
        <f t="shared" si="26"/>
        <v>0</v>
      </c>
      <c r="F119" s="88">
        <f t="shared" si="26"/>
        <v>0</v>
      </c>
      <c r="G119" s="88">
        <f t="shared" si="26"/>
        <v>0</v>
      </c>
      <c r="H119" s="88">
        <f t="shared" si="26"/>
        <v>0</v>
      </c>
      <c r="I119" s="88">
        <f t="shared" si="26"/>
        <v>0</v>
      </c>
      <c r="J119" s="88">
        <f t="shared" si="26"/>
        <v>0</v>
      </c>
      <c r="K119" s="88">
        <f t="shared" si="26"/>
        <v>0</v>
      </c>
    </row>
    <row r="120" spans="1:16">
      <c r="A120" s="211" t="s">
        <v>276</v>
      </c>
      <c r="B120" s="88">
        <f t="shared" si="26"/>
        <v>0</v>
      </c>
      <c r="C120" s="88">
        <f t="shared" si="26"/>
        <v>0</v>
      </c>
      <c r="D120" s="88">
        <f t="shared" si="26"/>
        <v>0</v>
      </c>
      <c r="E120" s="88">
        <f t="shared" si="26"/>
        <v>0</v>
      </c>
      <c r="F120" s="88">
        <f t="shared" si="26"/>
        <v>0</v>
      </c>
      <c r="G120" s="88">
        <f t="shared" si="26"/>
        <v>0</v>
      </c>
      <c r="H120" s="88">
        <f t="shared" si="26"/>
        <v>0</v>
      </c>
      <c r="I120" s="88">
        <f t="shared" si="26"/>
        <v>0</v>
      </c>
      <c r="J120" s="88">
        <f t="shared" si="26"/>
        <v>0</v>
      </c>
      <c r="K120" s="88">
        <f t="shared" si="26"/>
        <v>0</v>
      </c>
    </row>
    <row r="121" spans="1:16">
      <c r="A121" s="6" t="s">
        <v>98</v>
      </c>
      <c r="B121" s="88">
        <f>SUM(B106:B120)</f>
        <v>512982.30114692147</v>
      </c>
      <c r="C121" s="88">
        <f t="shared" ref="C121:K121" si="27">SUM(C106:C120)</f>
        <v>541808.47222629178</v>
      </c>
      <c r="D121" s="88">
        <f t="shared" si="27"/>
        <v>571726.31528422143</v>
      </c>
      <c r="E121" s="88">
        <f t="shared" si="27"/>
        <v>604465.90463841835</v>
      </c>
      <c r="F121" s="88">
        <f t="shared" si="27"/>
        <v>639534.52651993104</v>
      </c>
      <c r="G121" s="88">
        <f t="shared" si="27"/>
        <v>675864.46944714896</v>
      </c>
      <c r="H121" s="88">
        <f t="shared" si="27"/>
        <v>714051.72292889887</v>
      </c>
      <c r="I121" s="88">
        <f t="shared" si="27"/>
        <v>754712.81339812628</v>
      </c>
      <c r="J121" s="88">
        <f t="shared" si="27"/>
        <v>797715.30450142175</v>
      </c>
      <c r="K121" s="88">
        <f t="shared" si="27"/>
        <v>843195.37350317091</v>
      </c>
      <c r="L121" s="56">
        <f>(B121-B104)/$B$19</f>
        <v>-2.0455106664294967E-2</v>
      </c>
      <c r="M121" s="56">
        <f>(K121-K104)/$K$19</f>
        <v>-2.0525442439787645E-2</v>
      </c>
      <c r="P121" s="269"/>
    </row>
    <row r="122" spans="1:16">
      <c r="A122" s="210" t="s">
        <v>315</v>
      </c>
      <c r="B122" s="285"/>
      <c r="C122" s="285"/>
      <c r="D122" s="285"/>
      <c r="E122" s="285"/>
      <c r="F122" s="285"/>
      <c r="G122" s="285"/>
      <c r="H122" s="285"/>
      <c r="I122" s="285"/>
      <c r="J122" s="285"/>
      <c r="K122" s="285"/>
      <c r="L122" s="299"/>
    </row>
    <row r="123" spans="1:16">
      <c r="A123" s="6" t="s">
        <v>4</v>
      </c>
      <c r="B123" s="285">
        <f>B106</f>
        <v>162453.2654677745</v>
      </c>
      <c r="C123" s="285">
        <f t="shared" ref="C123:K123" si="28">C106</f>
        <v>172095.89306471363</v>
      </c>
      <c r="D123" s="285">
        <f t="shared" si="28"/>
        <v>182109.97891319075</v>
      </c>
      <c r="E123" s="285">
        <f t="shared" si="28"/>
        <v>193122.74683163807</v>
      </c>
      <c r="F123" s="285">
        <f t="shared" si="28"/>
        <v>205425.07515112896</v>
      </c>
      <c r="G123" s="285">
        <f t="shared" si="28"/>
        <v>217614.28250068027</v>
      </c>
      <c r="H123" s="285">
        <f t="shared" si="28"/>
        <v>230523.53311654663</v>
      </c>
      <c r="I123" s="285">
        <f t="shared" si="28"/>
        <v>244482.06293992381</v>
      </c>
      <c r="J123" s="285">
        <f t="shared" si="28"/>
        <v>259285.74348534527</v>
      </c>
      <c r="K123" s="285">
        <f t="shared" si="28"/>
        <v>274985.73920583521</v>
      </c>
      <c r="L123" s="299"/>
    </row>
    <row r="124" spans="1:16">
      <c r="A124" s="6" t="s">
        <v>5</v>
      </c>
      <c r="B124" s="285">
        <f t="shared" ref="B124:K134" si="29">B107</f>
        <v>119740.67145279273</v>
      </c>
      <c r="C124" s="285">
        <f t="shared" si="29"/>
        <v>126368.91291953773</v>
      </c>
      <c r="D124" s="285">
        <f t="shared" si="29"/>
        <v>133343.01761350519</v>
      </c>
      <c r="E124" s="285">
        <f t="shared" si="29"/>
        <v>141139.88765538039</v>
      </c>
      <c r="F124" s="285">
        <f t="shared" si="29"/>
        <v>149000.9327685443</v>
      </c>
      <c r="G124" s="285">
        <f t="shared" si="29"/>
        <v>157394.9835009964</v>
      </c>
      <c r="H124" s="285">
        <f t="shared" si="29"/>
        <v>166259.59413822962</v>
      </c>
      <c r="I124" s="285">
        <f t="shared" si="29"/>
        <v>175550.81279616186</v>
      </c>
      <c r="J124" s="285">
        <f t="shared" si="29"/>
        <v>185361.21847010986</v>
      </c>
      <c r="K124" s="285">
        <f t="shared" si="29"/>
        <v>195719.81810448863</v>
      </c>
      <c r="L124" s="299"/>
    </row>
    <row r="125" spans="1:16">
      <c r="A125" s="6" t="s">
        <v>6</v>
      </c>
      <c r="B125" s="285">
        <f t="shared" si="29"/>
        <v>14324.075326181735</v>
      </c>
      <c r="C125" s="285">
        <f t="shared" si="29"/>
        <v>15116.984108952405</v>
      </c>
      <c r="D125" s="285">
        <f t="shared" si="29"/>
        <v>15951.267061912562</v>
      </c>
      <c r="E125" s="285">
        <f t="shared" si="29"/>
        <v>16820.140439530696</v>
      </c>
      <c r="F125" s="285">
        <f t="shared" si="29"/>
        <v>17740.137785352897</v>
      </c>
      <c r="G125" s="285">
        <f t="shared" si="29"/>
        <v>18721.792576583568</v>
      </c>
      <c r="H125" s="285">
        <f t="shared" si="29"/>
        <v>19738.763862884258</v>
      </c>
      <c r="I125" s="285">
        <f t="shared" si="29"/>
        <v>20815.51731882567</v>
      </c>
      <c r="J125" s="285">
        <f t="shared" si="29"/>
        <v>21951.002957753273</v>
      </c>
      <c r="K125" s="285">
        <f t="shared" si="29"/>
        <v>23148.423792548092</v>
      </c>
      <c r="L125" s="299"/>
    </row>
    <row r="126" spans="1:16">
      <c r="A126" s="6" t="s">
        <v>7</v>
      </c>
      <c r="B126" s="285">
        <f t="shared" si="29"/>
        <v>24063.991033062659</v>
      </c>
      <c r="C126" s="285">
        <f t="shared" si="29"/>
        <v>25131.259607884604</v>
      </c>
      <c r="D126" s="285">
        <f t="shared" si="29"/>
        <v>26241.721688069818</v>
      </c>
      <c r="E126" s="285">
        <f t="shared" si="29"/>
        <v>27408.586843553279</v>
      </c>
      <c r="F126" s="285">
        <f t="shared" si="29"/>
        <v>28633.464803137751</v>
      </c>
      <c r="G126" s="285">
        <f t="shared" si="29"/>
        <v>29874.193703286073</v>
      </c>
      <c r="H126" s="285">
        <f t="shared" si="29"/>
        <v>31168.249552921858</v>
      </c>
      <c r="I126" s="285">
        <f t="shared" si="29"/>
        <v>32525.562438772911</v>
      </c>
      <c r="J126" s="285">
        <f t="shared" si="29"/>
        <v>33941.97587389603</v>
      </c>
      <c r="K126" s="285">
        <f t="shared" si="29"/>
        <v>35420.062440012909</v>
      </c>
      <c r="L126" s="299"/>
    </row>
    <row r="127" spans="1:16">
      <c r="A127" s="6" t="s">
        <v>8</v>
      </c>
      <c r="B127" s="285">
        <f t="shared" si="29"/>
        <v>28096.874696395342</v>
      </c>
      <c r="C127" s="285">
        <f t="shared" si="29"/>
        <v>29708.389053731284</v>
      </c>
      <c r="D127" s="285">
        <f t="shared" si="29"/>
        <v>31288.521667558602</v>
      </c>
      <c r="E127" s="285">
        <f t="shared" si="29"/>
        <v>33086.730327168603</v>
      </c>
      <c r="F127" s="285">
        <f t="shared" si="29"/>
        <v>34995.773674024058</v>
      </c>
      <c r="G127" s="285">
        <f t="shared" si="29"/>
        <v>37002.28701560857</v>
      </c>
      <c r="H127" s="285">
        <f t="shared" si="29"/>
        <v>39086.285245948886</v>
      </c>
      <c r="I127" s="285">
        <f t="shared" si="29"/>
        <v>41309.669894759107</v>
      </c>
      <c r="J127" s="285">
        <f t="shared" si="29"/>
        <v>43659.519772915119</v>
      </c>
      <c r="K127" s="285">
        <f t="shared" si="29"/>
        <v>46143.02701345431</v>
      </c>
      <c r="L127" s="299"/>
    </row>
    <row r="128" spans="1:16">
      <c r="A128" s="6" t="s">
        <v>9</v>
      </c>
      <c r="B128" s="285">
        <f t="shared" si="29"/>
        <v>20133.782360626981</v>
      </c>
      <c r="C128" s="285">
        <f t="shared" si="29"/>
        <v>21590.676775033739</v>
      </c>
      <c r="D128" s="285">
        <f t="shared" si="29"/>
        <v>23106.150807393318</v>
      </c>
      <c r="E128" s="285">
        <f t="shared" si="29"/>
        <v>24757.734135453607</v>
      </c>
      <c r="F128" s="285">
        <f t="shared" si="29"/>
        <v>26508.272884458976</v>
      </c>
      <c r="G128" s="285">
        <f t="shared" si="29"/>
        <v>28425.898376515262</v>
      </c>
      <c r="H128" s="285">
        <f t="shared" si="29"/>
        <v>30481.820117499668</v>
      </c>
      <c r="I128" s="285">
        <f t="shared" si="29"/>
        <v>32662.906935396131</v>
      </c>
      <c r="J128" s="285">
        <f t="shared" si="29"/>
        <v>35000.050710401243</v>
      </c>
      <c r="K128" s="285">
        <f t="shared" si="29"/>
        <v>37504.416280960482</v>
      </c>
      <c r="L128" s="299"/>
    </row>
    <row r="129" spans="1:16">
      <c r="A129" s="6" t="s">
        <v>10</v>
      </c>
      <c r="B129" s="285">
        <f t="shared" si="29"/>
        <v>18140.285607789145</v>
      </c>
      <c r="C129" s="285">
        <f t="shared" si="29"/>
        <v>19017.415877914103</v>
      </c>
      <c r="D129" s="285">
        <f t="shared" si="29"/>
        <v>19876.749493488842</v>
      </c>
      <c r="E129" s="285">
        <f t="shared" si="29"/>
        <v>20780.475233528257</v>
      </c>
      <c r="F129" s="285">
        <f t="shared" si="29"/>
        <v>21771.528338221182</v>
      </c>
      <c r="G129" s="285">
        <f t="shared" si="29"/>
        <v>22845.590416114323</v>
      </c>
      <c r="H129" s="285">
        <f t="shared" si="29"/>
        <v>24040.862113923195</v>
      </c>
      <c r="I129" s="285">
        <f t="shared" si="29"/>
        <v>25232.066841544656</v>
      </c>
      <c r="J129" s="285">
        <f t="shared" si="29"/>
        <v>26482.288825137835</v>
      </c>
      <c r="K129" s="285">
        <f t="shared" si="29"/>
        <v>27794.45136936253</v>
      </c>
      <c r="L129" s="299"/>
    </row>
    <row r="130" spans="1:16">
      <c r="A130" s="6" t="s">
        <v>18</v>
      </c>
      <c r="B130" s="285">
        <f t="shared" si="29"/>
        <v>28600.194242264795</v>
      </c>
      <c r="C130" s="285">
        <f t="shared" si="29"/>
        <v>30269.186633790068</v>
      </c>
      <c r="D130" s="285">
        <f t="shared" si="29"/>
        <v>32060.794563745942</v>
      </c>
      <c r="E130" s="285">
        <f t="shared" si="29"/>
        <v>33935.462267587282</v>
      </c>
      <c r="F130" s="285">
        <f t="shared" si="29"/>
        <v>35995.349513526897</v>
      </c>
      <c r="G130" s="285">
        <f t="shared" si="29"/>
        <v>38167.194774114163</v>
      </c>
      <c r="H130" s="285">
        <f t="shared" si="29"/>
        <v>40431.337903791726</v>
      </c>
      <c r="I130" s="285">
        <f t="shared" si="29"/>
        <v>42852.553504138363</v>
      </c>
      <c r="J130" s="285">
        <f t="shared" si="29"/>
        <v>45418.752497427362</v>
      </c>
      <c r="K130" s="285">
        <f t="shared" si="29"/>
        <v>48138.615311594331</v>
      </c>
      <c r="L130" s="299"/>
    </row>
    <row r="131" spans="1:16">
      <c r="A131" s="6" t="s">
        <v>16</v>
      </c>
      <c r="B131" s="285">
        <f t="shared" si="29"/>
        <v>9438.0617106060163</v>
      </c>
      <c r="C131" s="285">
        <f t="shared" si="29"/>
        <v>9875.5342128112843</v>
      </c>
      <c r="D131" s="285">
        <f t="shared" si="29"/>
        <v>10341.531273351118</v>
      </c>
      <c r="E131" s="285">
        <f t="shared" si="29"/>
        <v>10832.41654484746</v>
      </c>
      <c r="F131" s="285">
        <f t="shared" si="29"/>
        <v>11349.031296312665</v>
      </c>
      <c r="G131" s="285">
        <f t="shared" si="29"/>
        <v>11897.564209544385</v>
      </c>
      <c r="H131" s="285">
        <f t="shared" si="29"/>
        <v>12472.43505928649</v>
      </c>
      <c r="I131" s="285">
        <f t="shared" si="29"/>
        <v>13069.642178088085</v>
      </c>
      <c r="J131" s="285">
        <f t="shared" si="29"/>
        <v>13695.44178718962</v>
      </c>
      <c r="K131" s="285">
        <f t="shared" si="29"/>
        <v>14351.202475341179</v>
      </c>
      <c r="L131" s="299"/>
    </row>
    <row r="132" spans="1:16">
      <c r="A132" s="6" t="s">
        <v>11</v>
      </c>
      <c r="B132" s="285">
        <f t="shared" si="29"/>
        <v>6035.072584392613</v>
      </c>
      <c r="C132" s="285">
        <f t="shared" si="29"/>
        <v>6393.2922685844269</v>
      </c>
      <c r="D132" s="285">
        <f t="shared" si="29"/>
        <v>6771.7059096743023</v>
      </c>
      <c r="E132" s="285">
        <f t="shared" si="29"/>
        <v>7174.4377112434886</v>
      </c>
      <c r="F132" s="285">
        <f t="shared" si="29"/>
        <v>7602.7478945834537</v>
      </c>
      <c r="G132" s="285">
        <f t="shared" si="29"/>
        <v>8069.078760575243</v>
      </c>
      <c r="H132" s="285">
        <f t="shared" si="29"/>
        <v>8523.5356932081377</v>
      </c>
      <c r="I132" s="285">
        <f t="shared" si="29"/>
        <v>9025.4391623267511</v>
      </c>
      <c r="J132" s="285">
        <f t="shared" si="29"/>
        <v>9556.8947804836935</v>
      </c>
      <c r="K132" s="285">
        <f t="shared" si="29"/>
        <v>10119.642324340954</v>
      </c>
      <c r="L132" s="299"/>
    </row>
    <row r="133" spans="1:16">
      <c r="A133" s="6" t="s">
        <v>13</v>
      </c>
      <c r="B133" s="285">
        <f>B116</f>
        <v>13015.934321462773</v>
      </c>
      <c r="C133" s="285">
        <f t="shared" si="29"/>
        <v>13476.024721270978</v>
      </c>
      <c r="D133" s="285">
        <f t="shared" si="29"/>
        <v>13923.220163679234</v>
      </c>
      <c r="E133" s="285">
        <f t="shared" si="29"/>
        <v>14458.753862211928</v>
      </c>
      <c r="F133" s="285">
        <f t="shared" si="29"/>
        <v>15047.036138730071</v>
      </c>
      <c r="G133" s="285">
        <f t="shared" si="29"/>
        <v>15608.734786912868</v>
      </c>
      <c r="H133" s="285">
        <f t="shared" si="29"/>
        <v>16159.948137089295</v>
      </c>
      <c r="I133" s="285">
        <f t="shared" si="29"/>
        <v>16766.700865673727</v>
      </c>
      <c r="J133" s="285">
        <f t="shared" si="29"/>
        <v>17396.231249972214</v>
      </c>
      <c r="K133" s="285">
        <f t="shared" si="29"/>
        <v>18049.393987394586</v>
      </c>
      <c r="L133" s="299"/>
    </row>
    <row r="134" spans="1:16">
      <c r="A134" s="6" t="s">
        <v>71</v>
      </c>
      <c r="B134" s="285">
        <f>B117</f>
        <v>28791.565066927964</v>
      </c>
      <c r="C134" s="285">
        <f t="shared" si="29"/>
        <v>30298.917575967578</v>
      </c>
      <c r="D134" s="285">
        <f t="shared" si="29"/>
        <v>31880.154947029732</v>
      </c>
      <c r="E134" s="285">
        <f t="shared" si="29"/>
        <v>33584.788311616554</v>
      </c>
      <c r="F134" s="285">
        <f t="shared" si="29"/>
        <v>35388.140800757341</v>
      </c>
      <c r="G134" s="285">
        <f t="shared" si="29"/>
        <v>37275.55331184082</v>
      </c>
      <c r="H134" s="285">
        <f t="shared" si="29"/>
        <v>39225.794609276592</v>
      </c>
      <c r="I134" s="285">
        <f t="shared" si="29"/>
        <v>41300.179658613044</v>
      </c>
      <c r="J134" s="285">
        <f t="shared" si="29"/>
        <v>43484.255035020928</v>
      </c>
      <c r="K134" s="285">
        <f t="shared" si="29"/>
        <v>45783.819883571348</v>
      </c>
      <c r="L134" s="299"/>
    </row>
    <row r="135" spans="1:16">
      <c r="A135" s="6" t="s">
        <v>166</v>
      </c>
      <c r="B135" s="285">
        <f>SUM(B123:B132)*(UF_Assumptions_1!B$19/(1-UF_Assumptions_1!B$19))</f>
        <v>27512.315392460838</v>
      </c>
      <c r="C135" s="285">
        <f>SUM(C123:C132)*(UF_Assumptions_1!C$19/(1-UF_Assumptions_1!C$19))</f>
        <v>29078.779437635316</v>
      </c>
      <c r="D135" s="285">
        <f>SUM(D123:D132)*(UF_Assumptions_1!D$19/(1-UF_Assumptions_1!D$19))</f>
        <v>30707.964190971725</v>
      </c>
      <c r="E135" s="285">
        <f>SUM(E123:E132)*(UF_Assumptions_1!E$19/(1-UF_Assumptions_1!E$19))</f>
        <v>32493.10327595305</v>
      </c>
      <c r="F135" s="285">
        <f>SUM(F123:F132)*(UF_Assumptions_1!F$19/(1-UF_Assumptions_1!F$19))</f>
        <v>34405.679623997305</v>
      </c>
      <c r="G135" s="285">
        <f>SUM(G123:G132)*(UF_Assumptions_1!G$19/(1-UF_Assumptions_1!G$19))</f>
        <v>36383.799946852225</v>
      </c>
      <c r="H135" s="285">
        <f>SUM(H123:H132)*(UF_Assumptions_1!H$19/(1-UF_Assumptions_1!H$19))</f>
        <v>38471.898944951514</v>
      </c>
      <c r="I135" s="285">
        <f>SUM(I123:I132)*(UF_Assumptions_1!I$19/(1-UF_Assumptions_1!I$19))</f>
        <v>40693.163872974721</v>
      </c>
      <c r="J135" s="285">
        <f>SUM(J123:J132)*(UF_Assumptions_1!J$19/(1-UF_Assumptions_1!J$19))</f>
        <v>43043.801435786765</v>
      </c>
      <c r="K135" s="285">
        <f>SUM(K123:K132)*(UF_Assumptions_1!K$19/(1-UF_Assumptions_1!K$19))</f>
        <v>45531.408403272668</v>
      </c>
      <c r="L135" s="299"/>
      <c r="N135" s="269">
        <f>K135/(SUM(K123:K132)+K135)</f>
        <v>0.06</v>
      </c>
    </row>
    <row r="136" spans="1:16">
      <c r="A136" s="212" t="s">
        <v>218</v>
      </c>
      <c r="B136" s="285">
        <f t="shared" ref="B136:K137" si="30">B102</f>
        <v>0</v>
      </c>
      <c r="C136" s="285">
        <f t="shared" si="30"/>
        <v>0</v>
      </c>
      <c r="D136" s="285">
        <f t="shared" si="30"/>
        <v>0</v>
      </c>
      <c r="E136" s="285">
        <f t="shared" si="30"/>
        <v>0</v>
      </c>
      <c r="F136" s="285">
        <f t="shared" si="30"/>
        <v>0</v>
      </c>
      <c r="G136" s="285">
        <f t="shared" si="30"/>
        <v>0</v>
      </c>
      <c r="H136" s="285">
        <f t="shared" si="30"/>
        <v>0</v>
      </c>
      <c r="I136" s="285">
        <f t="shared" si="30"/>
        <v>0</v>
      </c>
      <c r="J136" s="285">
        <f t="shared" si="30"/>
        <v>0</v>
      </c>
      <c r="K136" s="285">
        <f t="shared" si="30"/>
        <v>0</v>
      </c>
      <c r="L136" s="299"/>
    </row>
    <row r="137" spans="1:16">
      <c r="A137" s="280" t="s">
        <v>276</v>
      </c>
      <c r="B137" s="285">
        <f t="shared" si="30"/>
        <v>0</v>
      </c>
      <c r="C137" s="285">
        <f t="shared" si="30"/>
        <v>0</v>
      </c>
      <c r="D137" s="285">
        <f t="shared" si="30"/>
        <v>0</v>
      </c>
      <c r="E137" s="285">
        <f t="shared" si="30"/>
        <v>0</v>
      </c>
      <c r="F137" s="285">
        <f t="shared" si="30"/>
        <v>0</v>
      </c>
      <c r="G137" s="285">
        <f t="shared" si="30"/>
        <v>0</v>
      </c>
      <c r="H137" s="285">
        <f t="shared" si="30"/>
        <v>0</v>
      </c>
      <c r="I137" s="285">
        <f t="shared" si="30"/>
        <v>0</v>
      </c>
      <c r="J137" s="285">
        <f t="shared" si="30"/>
        <v>0</v>
      </c>
      <c r="K137" s="285">
        <f t="shared" si="30"/>
        <v>0</v>
      </c>
      <c r="L137" s="299"/>
    </row>
    <row r="138" spans="1:16">
      <c r="A138" s="6" t="s">
        <v>98</v>
      </c>
      <c r="B138" s="285">
        <f>SUM(B123:B137)</f>
        <v>500346.08926273807</v>
      </c>
      <c r="C138" s="285">
        <f t="shared" ref="C138:K138" si="31">SUM(C123:C137)</f>
        <v>528421.26625782717</v>
      </c>
      <c r="D138" s="285">
        <f t="shared" si="31"/>
        <v>557602.77829357109</v>
      </c>
      <c r="E138" s="285">
        <f t="shared" si="31"/>
        <v>589595.2634397127</v>
      </c>
      <c r="F138" s="285">
        <f t="shared" si="31"/>
        <v>623863.17067277594</v>
      </c>
      <c r="G138" s="285">
        <f t="shared" si="31"/>
        <v>659280.95387962426</v>
      </c>
      <c r="H138" s="285">
        <f t="shared" si="31"/>
        <v>696584.05849555775</v>
      </c>
      <c r="I138" s="285">
        <f t="shared" si="31"/>
        <v>736286.27840719884</v>
      </c>
      <c r="J138" s="285">
        <f t="shared" si="31"/>
        <v>778277.17688143929</v>
      </c>
      <c r="K138" s="285">
        <f t="shared" si="31"/>
        <v>822690.02059217717</v>
      </c>
      <c r="L138" s="56">
        <f>(B138-B121)/$B$19</f>
        <v>-2.4441119283034128E-2</v>
      </c>
      <c r="M138" s="56">
        <f>(K138-K121)/$K$19</f>
        <v>-2.4112039834853504E-2</v>
      </c>
      <c r="P138" s="269"/>
    </row>
    <row r="139" spans="1:16">
      <c r="A139" s="210" t="s">
        <v>336</v>
      </c>
    </row>
    <row r="140" spans="1:16">
      <c r="A140" t="s">
        <v>4</v>
      </c>
      <c r="B140" s="88">
        <f>B123</f>
        <v>162453.2654677745</v>
      </c>
      <c r="C140" s="88">
        <f t="shared" ref="C140:K140" si="32">C123</f>
        <v>172095.89306471363</v>
      </c>
      <c r="D140" s="88">
        <f t="shared" si="32"/>
        <v>182109.97891319075</v>
      </c>
      <c r="E140" s="88">
        <f t="shared" si="32"/>
        <v>193122.74683163807</v>
      </c>
      <c r="F140" s="88">
        <f t="shared" si="32"/>
        <v>205425.07515112896</v>
      </c>
      <c r="G140" s="88">
        <f t="shared" si="32"/>
        <v>217614.28250068027</v>
      </c>
      <c r="H140" s="88">
        <f t="shared" si="32"/>
        <v>230523.53311654663</v>
      </c>
      <c r="I140" s="88">
        <f t="shared" si="32"/>
        <v>244482.06293992381</v>
      </c>
      <c r="J140" s="88">
        <f t="shared" si="32"/>
        <v>259285.74348534527</v>
      </c>
      <c r="K140" s="88">
        <f t="shared" si="32"/>
        <v>274985.73920583521</v>
      </c>
    </row>
    <row r="141" spans="1:16">
      <c r="A141" t="s">
        <v>5</v>
      </c>
      <c r="B141" s="88">
        <f t="shared" ref="B141:K152" si="33">B124</f>
        <v>119740.67145279273</v>
      </c>
      <c r="C141" s="88">
        <f t="shared" si="33"/>
        <v>126368.91291953773</v>
      </c>
      <c r="D141" s="88">
        <f t="shared" si="33"/>
        <v>133343.01761350519</v>
      </c>
      <c r="E141" s="88">
        <f t="shared" si="33"/>
        <v>141139.88765538039</v>
      </c>
      <c r="F141" s="88">
        <f t="shared" si="33"/>
        <v>149000.9327685443</v>
      </c>
      <c r="G141" s="88">
        <f t="shared" si="33"/>
        <v>157394.9835009964</v>
      </c>
      <c r="H141" s="88">
        <f t="shared" si="33"/>
        <v>166259.59413822962</v>
      </c>
      <c r="I141" s="88">
        <f t="shared" si="33"/>
        <v>175550.81279616186</v>
      </c>
      <c r="J141" s="88">
        <f t="shared" si="33"/>
        <v>185361.21847010986</v>
      </c>
      <c r="K141" s="88">
        <f t="shared" si="33"/>
        <v>195719.81810448863</v>
      </c>
    </row>
    <row r="142" spans="1:16">
      <c r="A142" t="s">
        <v>6</v>
      </c>
      <c r="B142" s="88">
        <f t="shared" si="33"/>
        <v>14324.075326181735</v>
      </c>
      <c r="C142" s="88">
        <f t="shared" si="33"/>
        <v>15116.984108952405</v>
      </c>
      <c r="D142" s="88">
        <f t="shared" si="33"/>
        <v>15951.267061912562</v>
      </c>
      <c r="E142" s="88">
        <f t="shared" si="33"/>
        <v>16820.140439530696</v>
      </c>
      <c r="F142" s="88">
        <f t="shared" si="33"/>
        <v>17740.137785352897</v>
      </c>
      <c r="G142" s="88">
        <f t="shared" si="33"/>
        <v>18721.792576583568</v>
      </c>
      <c r="H142" s="88">
        <f t="shared" si="33"/>
        <v>19738.763862884258</v>
      </c>
      <c r="I142" s="88">
        <f t="shared" si="33"/>
        <v>20815.51731882567</v>
      </c>
      <c r="J142" s="88">
        <f t="shared" si="33"/>
        <v>21951.002957753273</v>
      </c>
      <c r="K142" s="88">
        <f t="shared" si="33"/>
        <v>23148.423792548092</v>
      </c>
    </row>
    <row r="143" spans="1:16">
      <c r="A143" t="s">
        <v>7</v>
      </c>
      <c r="B143" s="88">
        <f t="shared" si="33"/>
        <v>24063.991033062659</v>
      </c>
      <c r="C143" s="88">
        <f t="shared" si="33"/>
        <v>25131.259607884604</v>
      </c>
      <c r="D143" s="88">
        <f t="shared" si="33"/>
        <v>26241.721688069818</v>
      </c>
      <c r="E143" s="88">
        <f t="shared" si="33"/>
        <v>27408.586843553279</v>
      </c>
      <c r="F143" s="88">
        <f t="shared" si="33"/>
        <v>28633.464803137751</v>
      </c>
      <c r="G143" s="88">
        <f t="shared" si="33"/>
        <v>29874.193703286073</v>
      </c>
      <c r="H143" s="88">
        <f t="shared" si="33"/>
        <v>31168.249552921858</v>
      </c>
      <c r="I143" s="88">
        <f t="shared" si="33"/>
        <v>32525.562438772911</v>
      </c>
      <c r="J143" s="88">
        <f t="shared" si="33"/>
        <v>33941.97587389603</v>
      </c>
      <c r="K143" s="88">
        <f t="shared" si="33"/>
        <v>35420.062440012909</v>
      </c>
    </row>
    <row r="144" spans="1:16">
      <c r="A144" t="s">
        <v>8</v>
      </c>
      <c r="B144" s="88">
        <f t="shared" si="33"/>
        <v>28096.874696395342</v>
      </c>
      <c r="C144" s="88">
        <f t="shared" si="33"/>
        <v>29708.389053731284</v>
      </c>
      <c r="D144" s="88">
        <f t="shared" si="33"/>
        <v>31288.521667558602</v>
      </c>
      <c r="E144" s="88">
        <f t="shared" si="33"/>
        <v>33086.730327168603</v>
      </c>
      <c r="F144" s="88">
        <f t="shared" si="33"/>
        <v>34995.773674024058</v>
      </c>
      <c r="G144" s="88">
        <f t="shared" si="33"/>
        <v>37002.28701560857</v>
      </c>
      <c r="H144" s="88">
        <f t="shared" si="33"/>
        <v>39086.285245948886</v>
      </c>
      <c r="I144" s="88">
        <f t="shared" si="33"/>
        <v>41309.669894759107</v>
      </c>
      <c r="J144" s="88">
        <f t="shared" si="33"/>
        <v>43659.519772915119</v>
      </c>
      <c r="K144" s="88">
        <f t="shared" si="33"/>
        <v>46143.02701345431</v>
      </c>
    </row>
    <row r="145" spans="1:16">
      <c r="A145" t="s">
        <v>9</v>
      </c>
      <c r="B145" s="88">
        <f t="shared" si="33"/>
        <v>20133.782360626981</v>
      </c>
      <c r="C145" s="88">
        <f t="shared" si="33"/>
        <v>21590.676775033739</v>
      </c>
      <c r="D145" s="88">
        <f t="shared" si="33"/>
        <v>23106.150807393318</v>
      </c>
      <c r="E145" s="88">
        <f t="shared" si="33"/>
        <v>24757.734135453607</v>
      </c>
      <c r="F145" s="88">
        <f t="shared" si="33"/>
        <v>26508.272884458976</v>
      </c>
      <c r="G145" s="88">
        <f t="shared" si="33"/>
        <v>28425.898376515262</v>
      </c>
      <c r="H145" s="88">
        <f t="shared" si="33"/>
        <v>30481.820117499668</v>
      </c>
      <c r="I145" s="88">
        <f t="shared" si="33"/>
        <v>32662.906935396131</v>
      </c>
      <c r="J145" s="88">
        <f t="shared" si="33"/>
        <v>35000.050710401243</v>
      </c>
      <c r="K145" s="88">
        <f t="shared" si="33"/>
        <v>37504.416280960482</v>
      </c>
    </row>
    <row r="146" spans="1:16">
      <c r="A146" t="s">
        <v>10</v>
      </c>
      <c r="B146" s="88">
        <f t="shared" si="33"/>
        <v>18140.285607789145</v>
      </c>
      <c r="C146" s="88">
        <f t="shared" si="33"/>
        <v>19017.415877914103</v>
      </c>
      <c r="D146" s="88">
        <f t="shared" si="33"/>
        <v>19876.749493488842</v>
      </c>
      <c r="E146" s="88">
        <f t="shared" si="33"/>
        <v>20780.475233528257</v>
      </c>
      <c r="F146" s="88">
        <f t="shared" si="33"/>
        <v>21771.528338221182</v>
      </c>
      <c r="G146" s="88">
        <f t="shared" si="33"/>
        <v>22845.590416114323</v>
      </c>
      <c r="H146" s="88">
        <f t="shared" si="33"/>
        <v>24040.862113923195</v>
      </c>
      <c r="I146" s="88">
        <f t="shared" si="33"/>
        <v>25232.066841544656</v>
      </c>
      <c r="J146" s="88">
        <f t="shared" si="33"/>
        <v>26482.288825137835</v>
      </c>
      <c r="K146" s="88">
        <f t="shared" si="33"/>
        <v>27794.45136936253</v>
      </c>
    </row>
    <row r="147" spans="1:16">
      <c r="A147" t="s">
        <v>18</v>
      </c>
      <c r="B147" s="88">
        <f t="shared" si="33"/>
        <v>28600.194242264795</v>
      </c>
      <c r="C147" s="88">
        <f t="shared" si="33"/>
        <v>30269.186633790068</v>
      </c>
      <c r="D147" s="88">
        <f t="shared" si="33"/>
        <v>32060.794563745942</v>
      </c>
      <c r="E147" s="88">
        <f t="shared" si="33"/>
        <v>33935.462267587282</v>
      </c>
      <c r="F147" s="88">
        <f t="shared" si="33"/>
        <v>35995.349513526897</v>
      </c>
      <c r="G147" s="88">
        <f t="shared" si="33"/>
        <v>38167.194774114163</v>
      </c>
      <c r="H147" s="88">
        <f t="shared" si="33"/>
        <v>40431.337903791726</v>
      </c>
      <c r="I147" s="88">
        <f t="shared" si="33"/>
        <v>42852.553504138363</v>
      </c>
      <c r="J147" s="88">
        <f t="shared" si="33"/>
        <v>45418.752497427362</v>
      </c>
      <c r="K147" s="88">
        <f t="shared" si="33"/>
        <v>48138.615311594331</v>
      </c>
    </row>
    <row r="148" spans="1:16">
      <c r="A148" t="s">
        <v>16</v>
      </c>
      <c r="B148" s="88">
        <f t="shared" si="33"/>
        <v>9438.0617106060163</v>
      </c>
      <c r="C148" s="88">
        <f t="shared" si="33"/>
        <v>9875.5342128112843</v>
      </c>
      <c r="D148" s="88">
        <f t="shared" si="33"/>
        <v>10341.531273351118</v>
      </c>
      <c r="E148" s="88">
        <f t="shared" si="33"/>
        <v>10832.41654484746</v>
      </c>
      <c r="F148" s="88">
        <f t="shared" si="33"/>
        <v>11349.031296312665</v>
      </c>
      <c r="G148" s="88">
        <f t="shared" si="33"/>
        <v>11897.564209544385</v>
      </c>
      <c r="H148" s="88">
        <f t="shared" si="33"/>
        <v>12472.43505928649</v>
      </c>
      <c r="I148" s="88">
        <f t="shared" si="33"/>
        <v>13069.642178088085</v>
      </c>
      <c r="J148" s="88">
        <f t="shared" si="33"/>
        <v>13695.44178718962</v>
      </c>
      <c r="K148" s="88">
        <f t="shared" si="33"/>
        <v>14351.202475341179</v>
      </c>
    </row>
    <row r="149" spans="1:16">
      <c r="A149" t="s">
        <v>11</v>
      </c>
      <c r="B149" s="88">
        <f t="shared" si="33"/>
        <v>6035.072584392613</v>
      </c>
      <c r="C149" s="88">
        <f t="shared" si="33"/>
        <v>6393.2922685844269</v>
      </c>
      <c r="D149" s="88">
        <f t="shared" si="33"/>
        <v>6771.7059096743023</v>
      </c>
      <c r="E149" s="88">
        <f t="shared" si="33"/>
        <v>7174.4377112434886</v>
      </c>
      <c r="F149" s="88">
        <f t="shared" si="33"/>
        <v>7602.7478945834537</v>
      </c>
      <c r="G149" s="88">
        <f t="shared" si="33"/>
        <v>8069.078760575243</v>
      </c>
      <c r="H149" s="88">
        <f t="shared" si="33"/>
        <v>8523.5356932081377</v>
      </c>
      <c r="I149" s="88">
        <f t="shared" si="33"/>
        <v>9025.4391623267511</v>
      </c>
      <c r="J149" s="88">
        <f t="shared" si="33"/>
        <v>9556.8947804836935</v>
      </c>
      <c r="K149" s="88">
        <f t="shared" si="33"/>
        <v>10119.642324340954</v>
      </c>
    </row>
    <row r="150" spans="1:16">
      <c r="A150" t="s">
        <v>13</v>
      </c>
      <c r="B150" s="88">
        <f t="shared" si="33"/>
        <v>13015.934321462773</v>
      </c>
      <c r="C150" s="88">
        <f t="shared" si="33"/>
        <v>13476.024721270978</v>
      </c>
      <c r="D150" s="88">
        <f t="shared" si="33"/>
        <v>13923.220163679234</v>
      </c>
      <c r="E150" s="88">
        <f t="shared" si="33"/>
        <v>14458.753862211928</v>
      </c>
      <c r="F150" s="88">
        <f t="shared" si="33"/>
        <v>15047.036138730071</v>
      </c>
      <c r="G150" s="88">
        <f t="shared" si="33"/>
        <v>15608.734786912868</v>
      </c>
      <c r="H150" s="88">
        <f t="shared" si="33"/>
        <v>16159.948137089295</v>
      </c>
      <c r="I150" s="88">
        <f t="shared" si="33"/>
        <v>16766.700865673727</v>
      </c>
      <c r="J150" s="88">
        <f t="shared" si="33"/>
        <v>17396.231249972214</v>
      </c>
      <c r="K150" s="88">
        <f t="shared" si="33"/>
        <v>18049.393987394586</v>
      </c>
    </row>
    <row r="151" spans="1:16">
      <c r="A151" s="6" t="s">
        <v>71</v>
      </c>
      <c r="B151" s="88">
        <f t="shared" si="33"/>
        <v>28791.565066927964</v>
      </c>
      <c r="C151" s="88">
        <f t="shared" si="33"/>
        <v>30298.917575967578</v>
      </c>
      <c r="D151" s="88">
        <f t="shared" si="33"/>
        <v>31880.154947029732</v>
      </c>
      <c r="E151" s="88">
        <f t="shared" si="33"/>
        <v>33584.788311616554</v>
      </c>
      <c r="F151" s="88">
        <f t="shared" si="33"/>
        <v>35388.140800757341</v>
      </c>
      <c r="G151" s="88">
        <f t="shared" si="33"/>
        <v>37275.55331184082</v>
      </c>
      <c r="H151" s="88">
        <f t="shared" si="33"/>
        <v>39225.794609276592</v>
      </c>
      <c r="I151" s="88">
        <f t="shared" si="33"/>
        <v>41300.179658613044</v>
      </c>
      <c r="J151" s="88">
        <f t="shared" si="33"/>
        <v>43484.255035020928</v>
      </c>
      <c r="K151" s="88">
        <f t="shared" si="33"/>
        <v>45783.819883571348</v>
      </c>
    </row>
    <row r="152" spans="1:16">
      <c r="A152" s="6" t="s">
        <v>166</v>
      </c>
      <c r="B152" s="88">
        <f t="shared" si="33"/>
        <v>27512.315392460838</v>
      </c>
      <c r="C152" s="88">
        <f t="shared" si="33"/>
        <v>29078.779437635316</v>
      </c>
      <c r="D152" s="88">
        <f t="shared" si="33"/>
        <v>30707.964190971725</v>
      </c>
      <c r="E152" s="88">
        <f t="shared" si="33"/>
        <v>32493.10327595305</v>
      </c>
      <c r="F152" s="88">
        <f t="shared" si="33"/>
        <v>34405.679623997305</v>
      </c>
      <c r="G152" s="88">
        <f t="shared" si="33"/>
        <v>36383.799946852225</v>
      </c>
      <c r="H152" s="88">
        <f t="shared" si="33"/>
        <v>38471.898944951514</v>
      </c>
      <c r="I152" s="88">
        <f t="shared" si="33"/>
        <v>40693.163872974721</v>
      </c>
      <c r="J152" s="88">
        <f t="shared" si="33"/>
        <v>43043.801435786765</v>
      </c>
      <c r="K152" s="88">
        <f t="shared" si="33"/>
        <v>45531.408403272668</v>
      </c>
      <c r="N152" s="269">
        <f>K152/(SUM(K140:K149)+K152)</f>
        <v>0.06</v>
      </c>
    </row>
    <row r="153" spans="1:16">
      <c r="A153" s="212" t="s">
        <v>218</v>
      </c>
      <c r="B153" s="88">
        <f>UF_Calculations_1!B33</f>
        <v>1042.6805944431842</v>
      </c>
      <c r="C153" s="88">
        <f>UF_Calculations_1!C33</f>
        <v>1042.6805944431842</v>
      </c>
      <c r="D153" s="88">
        <f>UF_Calculations_1!D33</f>
        <v>1042.6805944431842</v>
      </c>
      <c r="E153" s="88">
        <f>UF_Calculations_1!E33</f>
        <v>1042.6805944431842</v>
      </c>
      <c r="F153" s="88">
        <f>UF_Calculations_1!F33</f>
        <v>1042.6805944431842</v>
      </c>
      <c r="G153" s="88">
        <f>UF_Calculations_1!G33</f>
        <v>1042.6805944431842</v>
      </c>
      <c r="H153" s="88">
        <f>UF_Calculations_1!H33</f>
        <v>1042.6805944431842</v>
      </c>
      <c r="I153" s="88">
        <f>UF_Calculations_1!I33</f>
        <v>1042.6805944431842</v>
      </c>
      <c r="J153" s="88">
        <f>UF_Calculations_1!J33</f>
        <v>1042.6805944431842</v>
      </c>
      <c r="K153" s="88">
        <f>UF_Calculations_1!K33</f>
        <v>1042.6805944431842</v>
      </c>
    </row>
    <row r="154" spans="1:16">
      <c r="A154" s="211" t="s">
        <v>276</v>
      </c>
      <c r="B154" s="88">
        <f t="shared" ref="B154:K154" si="34">B120</f>
        <v>0</v>
      </c>
      <c r="C154" s="88">
        <f t="shared" si="34"/>
        <v>0</v>
      </c>
      <c r="D154" s="88">
        <f t="shared" si="34"/>
        <v>0</v>
      </c>
      <c r="E154" s="88">
        <f t="shared" si="34"/>
        <v>0</v>
      </c>
      <c r="F154" s="88">
        <f t="shared" si="34"/>
        <v>0</v>
      </c>
      <c r="G154" s="88">
        <f t="shared" si="34"/>
        <v>0</v>
      </c>
      <c r="H154" s="88">
        <f t="shared" si="34"/>
        <v>0</v>
      </c>
      <c r="I154" s="88">
        <f t="shared" si="34"/>
        <v>0</v>
      </c>
      <c r="J154" s="88">
        <f t="shared" si="34"/>
        <v>0</v>
      </c>
      <c r="K154" s="88">
        <f t="shared" si="34"/>
        <v>0</v>
      </c>
    </row>
    <row r="155" spans="1:16">
      <c r="A155" s="6" t="s">
        <v>98</v>
      </c>
      <c r="B155" s="88">
        <f>SUM(B140:B154)</f>
        <v>501388.76985718124</v>
      </c>
      <c r="C155" s="88">
        <f t="shared" ref="C155:K155" si="35">SUM(C140:C154)</f>
        <v>529463.9468522704</v>
      </c>
      <c r="D155" s="88">
        <f t="shared" si="35"/>
        <v>558645.45888801431</v>
      </c>
      <c r="E155" s="88">
        <f t="shared" si="35"/>
        <v>590637.94403415592</v>
      </c>
      <c r="F155" s="88">
        <f t="shared" si="35"/>
        <v>624905.85126721917</v>
      </c>
      <c r="G155" s="88">
        <f t="shared" si="35"/>
        <v>660323.63447406748</v>
      </c>
      <c r="H155" s="88">
        <f t="shared" si="35"/>
        <v>697626.73909000098</v>
      </c>
      <c r="I155" s="88">
        <f t="shared" si="35"/>
        <v>737328.95900164207</v>
      </c>
      <c r="J155" s="88">
        <f t="shared" si="35"/>
        <v>779319.85747588251</v>
      </c>
      <c r="K155" s="88">
        <f t="shared" si="35"/>
        <v>823732.7011866204</v>
      </c>
      <c r="L155" s="56">
        <f>(B155-B138)/$B$19</f>
        <v>2.0167658643638923E-3</v>
      </c>
      <c r="M155" s="56">
        <f>(K155-K138)/$K$19</f>
        <v>1.2260777045570695E-3</v>
      </c>
      <c r="P155" s="269"/>
    </row>
    <row r="156" spans="1:16">
      <c r="A156" s="210" t="s">
        <v>276</v>
      </c>
    </row>
    <row r="157" spans="1:16">
      <c r="A157" t="s">
        <v>4</v>
      </c>
      <c r="B157" s="88">
        <f>B140</f>
        <v>162453.2654677745</v>
      </c>
      <c r="C157" s="88">
        <f t="shared" ref="C157:K157" si="36">C140</f>
        <v>172095.89306471363</v>
      </c>
      <c r="D157" s="88">
        <f t="shared" si="36"/>
        <v>182109.97891319075</v>
      </c>
      <c r="E157" s="88">
        <f t="shared" si="36"/>
        <v>193122.74683163807</v>
      </c>
      <c r="F157" s="88">
        <f t="shared" si="36"/>
        <v>205425.07515112896</v>
      </c>
      <c r="G157" s="88">
        <f t="shared" si="36"/>
        <v>217614.28250068027</v>
      </c>
      <c r="H157" s="88">
        <f t="shared" si="36"/>
        <v>230523.53311654663</v>
      </c>
      <c r="I157" s="88">
        <f t="shared" si="36"/>
        <v>244482.06293992381</v>
      </c>
      <c r="J157" s="88">
        <f t="shared" si="36"/>
        <v>259285.74348534527</v>
      </c>
      <c r="K157" s="88">
        <f t="shared" si="36"/>
        <v>274985.73920583521</v>
      </c>
    </row>
    <row r="158" spans="1:16">
      <c r="A158" t="s">
        <v>5</v>
      </c>
      <c r="B158" s="88">
        <f t="shared" ref="B158:K170" si="37">B141</f>
        <v>119740.67145279273</v>
      </c>
      <c r="C158" s="88">
        <f t="shared" si="37"/>
        <v>126368.91291953773</v>
      </c>
      <c r="D158" s="88">
        <f t="shared" si="37"/>
        <v>133343.01761350519</v>
      </c>
      <c r="E158" s="88">
        <f t="shared" si="37"/>
        <v>141139.88765538039</v>
      </c>
      <c r="F158" s="88">
        <f t="shared" si="37"/>
        <v>149000.9327685443</v>
      </c>
      <c r="G158" s="88">
        <f t="shared" si="37"/>
        <v>157394.9835009964</v>
      </c>
      <c r="H158" s="88">
        <f t="shared" si="37"/>
        <v>166259.59413822962</v>
      </c>
      <c r="I158" s="88">
        <f t="shared" si="37"/>
        <v>175550.81279616186</v>
      </c>
      <c r="J158" s="88">
        <f t="shared" si="37"/>
        <v>185361.21847010986</v>
      </c>
      <c r="K158" s="88">
        <f t="shared" si="37"/>
        <v>195719.81810448863</v>
      </c>
    </row>
    <row r="159" spans="1:16">
      <c r="A159" t="s">
        <v>6</v>
      </c>
      <c r="B159" s="88">
        <f t="shared" si="37"/>
        <v>14324.075326181735</v>
      </c>
      <c r="C159" s="88">
        <f t="shared" si="37"/>
        <v>15116.984108952405</v>
      </c>
      <c r="D159" s="88">
        <f t="shared" si="37"/>
        <v>15951.267061912562</v>
      </c>
      <c r="E159" s="88">
        <f t="shared" si="37"/>
        <v>16820.140439530696</v>
      </c>
      <c r="F159" s="88">
        <f t="shared" si="37"/>
        <v>17740.137785352897</v>
      </c>
      <c r="G159" s="88">
        <f t="shared" si="37"/>
        <v>18721.792576583568</v>
      </c>
      <c r="H159" s="88">
        <f t="shared" si="37"/>
        <v>19738.763862884258</v>
      </c>
      <c r="I159" s="88">
        <f t="shared" si="37"/>
        <v>20815.51731882567</v>
      </c>
      <c r="J159" s="88">
        <f t="shared" si="37"/>
        <v>21951.002957753273</v>
      </c>
      <c r="K159" s="88">
        <f t="shared" si="37"/>
        <v>23148.423792548092</v>
      </c>
    </row>
    <row r="160" spans="1:16">
      <c r="A160" t="s">
        <v>7</v>
      </c>
      <c r="B160" s="88">
        <f t="shared" si="37"/>
        <v>24063.991033062659</v>
      </c>
      <c r="C160" s="88">
        <f t="shared" si="37"/>
        <v>25131.259607884604</v>
      </c>
      <c r="D160" s="88">
        <f t="shared" si="37"/>
        <v>26241.721688069818</v>
      </c>
      <c r="E160" s="88">
        <f t="shared" si="37"/>
        <v>27408.586843553279</v>
      </c>
      <c r="F160" s="88">
        <f t="shared" si="37"/>
        <v>28633.464803137751</v>
      </c>
      <c r="G160" s="88">
        <f t="shared" si="37"/>
        <v>29874.193703286073</v>
      </c>
      <c r="H160" s="88">
        <f t="shared" si="37"/>
        <v>31168.249552921858</v>
      </c>
      <c r="I160" s="88">
        <f t="shared" si="37"/>
        <v>32525.562438772911</v>
      </c>
      <c r="J160" s="88">
        <f t="shared" si="37"/>
        <v>33941.97587389603</v>
      </c>
      <c r="K160" s="88">
        <f t="shared" si="37"/>
        <v>35420.062440012909</v>
      </c>
    </row>
    <row r="161" spans="1:16">
      <c r="A161" t="s">
        <v>8</v>
      </c>
      <c r="B161" s="88">
        <f t="shared" si="37"/>
        <v>28096.874696395342</v>
      </c>
      <c r="C161" s="88">
        <f t="shared" si="37"/>
        <v>29708.389053731284</v>
      </c>
      <c r="D161" s="88">
        <f t="shared" si="37"/>
        <v>31288.521667558602</v>
      </c>
      <c r="E161" s="88">
        <f t="shared" si="37"/>
        <v>33086.730327168603</v>
      </c>
      <c r="F161" s="88">
        <f t="shared" si="37"/>
        <v>34995.773674024058</v>
      </c>
      <c r="G161" s="88">
        <f t="shared" si="37"/>
        <v>37002.28701560857</v>
      </c>
      <c r="H161" s="88">
        <f t="shared" si="37"/>
        <v>39086.285245948886</v>
      </c>
      <c r="I161" s="88">
        <f t="shared" si="37"/>
        <v>41309.669894759107</v>
      </c>
      <c r="J161" s="88">
        <f t="shared" si="37"/>
        <v>43659.519772915119</v>
      </c>
      <c r="K161" s="88">
        <f t="shared" si="37"/>
        <v>46143.02701345431</v>
      </c>
    </row>
    <row r="162" spans="1:16">
      <c r="A162" t="s">
        <v>9</v>
      </c>
      <c r="B162" s="88">
        <f t="shared" si="37"/>
        <v>20133.782360626981</v>
      </c>
      <c r="C162" s="88">
        <f t="shared" si="37"/>
        <v>21590.676775033739</v>
      </c>
      <c r="D162" s="88">
        <f t="shared" si="37"/>
        <v>23106.150807393318</v>
      </c>
      <c r="E162" s="88">
        <f t="shared" si="37"/>
        <v>24757.734135453607</v>
      </c>
      <c r="F162" s="88">
        <f t="shared" si="37"/>
        <v>26508.272884458976</v>
      </c>
      <c r="G162" s="88">
        <f t="shared" si="37"/>
        <v>28425.898376515262</v>
      </c>
      <c r="H162" s="88">
        <f t="shared" si="37"/>
        <v>30481.820117499668</v>
      </c>
      <c r="I162" s="88">
        <f t="shared" si="37"/>
        <v>32662.906935396131</v>
      </c>
      <c r="J162" s="88">
        <f t="shared" si="37"/>
        <v>35000.050710401243</v>
      </c>
      <c r="K162" s="88">
        <f t="shared" si="37"/>
        <v>37504.416280960482</v>
      </c>
    </row>
    <row r="163" spans="1:16">
      <c r="A163" t="s">
        <v>10</v>
      </c>
      <c r="B163" s="88">
        <f t="shared" si="37"/>
        <v>18140.285607789145</v>
      </c>
      <c r="C163" s="88">
        <f t="shared" si="37"/>
        <v>19017.415877914103</v>
      </c>
      <c r="D163" s="88">
        <f t="shared" si="37"/>
        <v>19876.749493488842</v>
      </c>
      <c r="E163" s="88">
        <f t="shared" si="37"/>
        <v>20780.475233528257</v>
      </c>
      <c r="F163" s="88">
        <f t="shared" si="37"/>
        <v>21771.528338221182</v>
      </c>
      <c r="G163" s="88">
        <f t="shared" si="37"/>
        <v>22845.590416114323</v>
      </c>
      <c r="H163" s="88">
        <f t="shared" si="37"/>
        <v>24040.862113923195</v>
      </c>
      <c r="I163" s="88">
        <f t="shared" si="37"/>
        <v>25232.066841544656</v>
      </c>
      <c r="J163" s="88">
        <f t="shared" si="37"/>
        <v>26482.288825137835</v>
      </c>
      <c r="K163" s="88">
        <f t="shared" si="37"/>
        <v>27794.45136936253</v>
      </c>
    </row>
    <row r="164" spans="1:16">
      <c r="A164" t="s">
        <v>18</v>
      </c>
      <c r="B164" s="88">
        <f t="shared" si="37"/>
        <v>28600.194242264795</v>
      </c>
      <c r="C164" s="88">
        <f t="shared" si="37"/>
        <v>30269.186633790068</v>
      </c>
      <c r="D164" s="88">
        <f t="shared" si="37"/>
        <v>32060.794563745942</v>
      </c>
      <c r="E164" s="88">
        <f t="shared" si="37"/>
        <v>33935.462267587282</v>
      </c>
      <c r="F164" s="88">
        <f t="shared" si="37"/>
        <v>35995.349513526897</v>
      </c>
      <c r="G164" s="88">
        <f t="shared" si="37"/>
        <v>38167.194774114163</v>
      </c>
      <c r="H164" s="88">
        <f t="shared" si="37"/>
        <v>40431.337903791726</v>
      </c>
      <c r="I164" s="88">
        <f t="shared" si="37"/>
        <v>42852.553504138363</v>
      </c>
      <c r="J164" s="88">
        <f t="shared" si="37"/>
        <v>45418.752497427362</v>
      </c>
      <c r="K164" s="88">
        <f t="shared" si="37"/>
        <v>48138.615311594331</v>
      </c>
    </row>
    <row r="165" spans="1:16">
      <c r="A165" t="s">
        <v>16</v>
      </c>
      <c r="B165" s="88">
        <f t="shared" si="37"/>
        <v>9438.0617106060163</v>
      </c>
      <c r="C165" s="88">
        <f t="shared" si="37"/>
        <v>9875.5342128112843</v>
      </c>
      <c r="D165" s="88">
        <f t="shared" si="37"/>
        <v>10341.531273351118</v>
      </c>
      <c r="E165" s="88">
        <f t="shared" si="37"/>
        <v>10832.41654484746</v>
      </c>
      <c r="F165" s="88">
        <f t="shared" si="37"/>
        <v>11349.031296312665</v>
      </c>
      <c r="G165" s="88">
        <f t="shared" si="37"/>
        <v>11897.564209544385</v>
      </c>
      <c r="H165" s="88">
        <f t="shared" si="37"/>
        <v>12472.43505928649</v>
      </c>
      <c r="I165" s="88">
        <f t="shared" si="37"/>
        <v>13069.642178088085</v>
      </c>
      <c r="J165" s="88">
        <f t="shared" si="37"/>
        <v>13695.44178718962</v>
      </c>
      <c r="K165" s="88">
        <f t="shared" si="37"/>
        <v>14351.202475341179</v>
      </c>
    </row>
    <row r="166" spans="1:16">
      <c r="A166" t="s">
        <v>11</v>
      </c>
      <c r="B166" s="88">
        <f t="shared" si="37"/>
        <v>6035.072584392613</v>
      </c>
      <c r="C166" s="88">
        <f t="shared" si="37"/>
        <v>6393.2922685844269</v>
      </c>
      <c r="D166" s="88">
        <f t="shared" si="37"/>
        <v>6771.7059096743023</v>
      </c>
      <c r="E166" s="88">
        <f t="shared" si="37"/>
        <v>7174.4377112434886</v>
      </c>
      <c r="F166" s="88">
        <f t="shared" si="37"/>
        <v>7602.7478945834537</v>
      </c>
      <c r="G166" s="88">
        <f t="shared" si="37"/>
        <v>8069.078760575243</v>
      </c>
      <c r="H166" s="88">
        <f t="shared" si="37"/>
        <v>8523.5356932081377</v>
      </c>
      <c r="I166" s="88">
        <f t="shared" si="37"/>
        <v>9025.4391623267511</v>
      </c>
      <c r="J166" s="88">
        <f t="shared" si="37"/>
        <v>9556.8947804836935</v>
      </c>
      <c r="K166" s="88">
        <f t="shared" si="37"/>
        <v>10119.642324340954</v>
      </c>
    </row>
    <row r="167" spans="1:16">
      <c r="A167" t="s">
        <v>13</v>
      </c>
      <c r="B167" s="88">
        <f t="shared" si="37"/>
        <v>13015.934321462773</v>
      </c>
      <c r="C167" s="88">
        <f t="shared" si="37"/>
        <v>13476.024721270978</v>
      </c>
      <c r="D167" s="88">
        <f t="shared" si="37"/>
        <v>13923.220163679234</v>
      </c>
      <c r="E167" s="88">
        <f t="shared" si="37"/>
        <v>14458.753862211928</v>
      </c>
      <c r="F167" s="88">
        <f t="shared" si="37"/>
        <v>15047.036138730071</v>
      </c>
      <c r="G167" s="88">
        <f t="shared" si="37"/>
        <v>15608.734786912868</v>
      </c>
      <c r="H167" s="88">
        <f t="shared" si="37"/>
        <v>16159.948137089295</v>
      </c>
      <c r="I167" s="88">
        <f t="shared" si="37"/>
        <v>16766.700865673727</v>
      </c>
      <c r="J167" s="88">
        <f t="shared" si="37"/>
        <v>17396.231249972214</v>
      </c>
      <c r="K167" s="88">
        <f t="shared" si="37"/>
        <v>18049.393987394586</v>
      </c>
    </row>
    <row r="168" spans="1:16">
      <c r="A168" s="6" t="s">
        <v>71</v>
      </c>
      <c r="B168" s="88">
        <f t="shared" si="37"/>
        <v>28791.565066927964</v>
      </c>
      <c r="C168" s="88">
        <f t="shared" si="37"/>
        <v>30298.917575967578</v>
      </c>
      <c r="D168" s="88">
        <f t="shared" si="37"/>
        <v>31880.154947029732</v>
      </c>
      <c r="E168" s="88">
        <f t="shared" si="37"/>
        <v>33584.788311616554</v>
      </c>
      <c r="F168" s="88">
        <f t="shared" si="37"/>
        <v>35388.140800757341</v>
      </c>
      <c r="G168" s="88">
        <f t="shared" si="37"/>
        <v>37275.55331184082</v>
      </c>
      <c r="H168" s="88">
        <f t="shared" si="37"/>
        <v>39225.794609276592</v>
      </c>
      <c r="I168" s="88">
        <f t="shared" si="37"/>
        <v>41300.179658613044</v>
      </c>
      <c r="J168" s="88">
        <f t="shared" si="37"/>
        <v>43484.255035020928</v>
      </c>
      <c r="K168" s="88">
        <f t="shared" si="37"/>
        <v>45783.819883571348</v>
      </c>
    </row>
    <row r="169" spans="1:16">
      <c r="A169" s="6" t="s">
        <v>166</v>
      </c>
      <c r="B169" s="88">
        <f t="shared" si="37"/>
        <v>27512.315392460838</v>
      </c>
      <c r="C169" s="88">
        <f t="shared" si="37"/>
        <v>29078.779437635316</v>
      </c>
      <c r="D169" s="88">
        <f t="shared" si="37"/>
        <v>30707.964190971725</v>
      </c>
      <c r="E169" s="88">
        <f t="shared" si="37"/>
        <v>32493.10327595305</v>
      </c>
      <c r="F169" s="88">
        <f t="shared" si="37"/>
        <v>34405.679623997305</v>
      </c>
      <c r="G169" s="88">
        <f t="shared" si="37"/>
        <v>36383.799946852225</v>
      </c>
      <c r="H169" s="88">
        <f t="shared" si="37"/>
        <v>38471.898944951514</v>
      </c>
      <c r="I169" s="88">
        <f t="shared" si="37"/>
        <v>40693.163872974721</v>
      </c>
      <c r="J169" s="88">
        <f t="shared" si="37"/>
        <v>43043.801435786765</v>
      </c>
      <c r="K169" s="88">
        <f t="shared" si="37"/>
        <v>45531.408403272668</v>
      </c>
      <c r="N169" s="269">
        <f>K169/(SUM(K157:K166)+K169)</f>
        <v>0.06</v>
      </c>
    </row>
    <row r="170" spans="1:16">
      <c r="A170" s="212" t="s">
        <v>218</v>
      </c>
      <c r="B170" s="88">
        <f>B153</f>
        <v>1042.6805944431842</v>
      </c>
      <c r="C170" s="88">
        <f t="shared" si="37"/>
        <v>1042.6805944431842</v>
      </c>
      <c r="D170" s="88">
        <f t="shared" si="37"/>
        <v>1042.6805944431842</v>
      </c>
      <c r="E170" s="88">
        <f t="shared" si="37"/>
        <v>1042.6805944431842</v>
      </c>
      <c r="F170" s="88">
        <f t="shared" si="37"/>
        <v>1042.6805944431842</v>
      </c>
      <c r="G170" s="88">
        <f t="shared" si="37"/>
        <v>1042.6805944431842</v>
      </c>
      <c r="H170" s="88">
        <f t="shared" si="37"/>
        <v>1042.6805944431842</v>
      </c>
      <c r="I170" s="88">
        <f t="shared" si="37"/>
        <v>1042.6805944431842</v>
      </c>
      <c r="J170" s="88">
        <f t="shared" si="37"/>
        <v>1042.6805944431842</v>
      </c>
      <c r="K170" s="88">
        <f t="shared" si="37"/>
        <v>1042.6805944431842</v>
      </c>
    </row>
    <row r="171" spans="1:16">
      <c r="A171" s="211" t="s">
        <v>276</v>
      </c>
      <c r="B171" s="88">
        <f>UF_Calculations_1!B102</f>
        <v>3537.1633259899727</v>
      </c>
      <c r="C171" s="88">
        <f>UF_Calculations_1!C102</f>
        <v>3654.809898111539</v>
      </c>
      <c r="D171" s="88">
        <f>UF_Calculations_1!D102</f>
        <v>3792.7771811755811</v>
      </c>
      <c r="E171" s="88">
        <f>UF_Calculations_1!E102</f>
        <v>3919.2449082998328</v>
      </c>
      <c r="F171" s="88">
        <f>UF_Calculations_1!F102</f>
        <v>4033.0551672833672</v>
      </c>
      <c r="G171" s="88">
        <f>UF_Calculations_1!G102</f>
        <v>4154.7747081638745</v>
      </c>
      <c r="H171" s="88">
        <f>UF_Calculations_1!H102</f>
        <v>4277.5390837173345</v>
      </c>
      <c r="I171" s="88">
        <f>UF_Calculations_1!I102</f>
        <v>4403.2164291837635</v>
      </c>
      <c r="J171" s="88">
        <f>UF_Calculations_1!J102</f>
        <v>4527.5359880427459</v>
      </c>
      <c r="K171" s="88">
        <f>UF_Calculations_1!K102</f>
        <v>4649.924250309874</v>
      </c>
    </row>
    <row r="172" spans="1:16">
      <c r="A172" s="6" t="s">
        <v>98</v>
      </c>
      <c r="B172" s="88">
        <f>SUM(B157:B171)</f>
        <v>504925.9331831712</v>
      </c>
      <c r="C172" s="88">
        <f t="shared" ref="C172:K172" si="38">SUM(C157:C171)</f>
        <v>533118.7567503819</v>
      </c>
      <c r="D172" s="88">
        <f t="shared" si="38"/>
        <v>562438.23606918985</v>
      </c>
      <c r="E172" s="88">
        <f t="shared" si="38"/>
        <v>594557.1889424558</v>
      </c>
      <c r="F172" s="88">
        <f t="shared" si="38"/>
        <v>628938.90643450257</v>
      </c>
      <c r="G172" s="88">
        <f t="shared" si="38"/>
        <v>664478.40918223141</v>
      </c>
      <c r="H172" s="88">
        <f t="shared" si="38"/>
        <v>701904.27817371837</v>
      </c>
      <c r="I172" s="88">
        <f t="shared" si="38"/>
        <v>741732.1754308258</v>
      </c>
      <c r="J172" s="88">
        <f t="shared" si="38"/>
        <v>783847.39346392523</v>
      </c>
      <c r="K172" s="88">
        <f t="shared" si="38"/>
        <v>828382.62543693022</v>
      </c>
      <c r="L172" s="269">
        <f>(B172-B155)/$B$19</f>
        <v>6.8416256047673426E-3</v>
      </c>
      <c r="M172" s="269">
        <f>(K172-K155)/$K$19</f>
        <v>5.467799517481612E-3</v>
      </c>
      <c r="P172" s="269"/>
    </row>
    <row r="173" spans="1:16" s="287" customFormat="1">
      <c r="A173" s="287" t="s">
        <v>317</v>
      </c>
      <c r="B173" s="298"/>
      <c r="C173" s="298"/>
      <c r="D173" s="298"/>
      <c r="E173" s="298"/>
      <c r="F173" s="298"/>
      <c r="G173" s="298"/>
      <c r="H173" s="298"/>
      <c r="I173" s="298"/>
      <c r="J173" s="298"/>
      <c r="K173" s="288"/>
      <c r="L173" s="288">
        <f>SUM(L3:L172)</f>
        <v>-2.3365936315595012E-2</v>
      </c>
      <c r="M173" s="288">
        <f>SUM(M3:M172)</f>
        <v>-2.5913138401683581E-2</v>
      </c>
      <c r="P173" s="288"/>
    </row>
    <row r="174" spans="1:16">
      <c r="A174" s="210" t="s">
        <v>318</v>
      </c>
      <c r="L174"/>
      <c r="M174"/>
    </row>
    <row r="175" spans="1:16">
      <c r="A175" t="s">
        <v>4</v>
      </c>
      <c r="B175" s="88">
        <f>B157</f>
        <v>162453.2654677745</v>
      </c>
      <c r="C175" s="88">
        <f t="shared" ref="C175:K175" si="39">C157</f>
        <v>172095.89306471363</v>
      </c>
      <c r="D175" s="88">
        <f t="shared" si="39"/>
        <v>182109.97891319075</v>
      </c>
      <c r="E175" s="88">
        <f t="shared" si="39"/>
        <v>193122.74683163807</v>
      </c>
      <c r="F175" s="88">
        <f t="shared" si="39"/>
        <v>205425.07515112896</v>
      </c>
      <c r="G175" s="88">
        <f t="shared" si="39"/>
        <v>217614.28250068027</v>
      </c>
      <c r="H175" s="88">
        <f t="shared" si="39"/>
        <v>230523.53311654663</v>
      </c>
      <c r="I175" s="88">
        <f t="shared" si="39"/>
        <v>244482.06293992381</v>
      </c>
      <c r="J175" s="88">
        <f t="shared" si="39"/>
        <v>259285.74348534527</v>
      </c>
      <c r="K175" s="88">
        <f t="shared" si="39"/>
        <v>274985.73920583521</v>
      </c>
      <c r="L175"/>
      <c r="M175" s="88"/>
      <c r="O175" s="88"/>
    </row>
    <row r="176" spans="1:16">
      <c r="A176" t="s">
        <v>5</v>
      </c>
      <c r="B176" s="88">
        <f t="shared" ref="B176:K186" si="40">B158</f>
        <v>119740.67145279273</v>
      </c>
      <c r="C176" s="88">
        <f t="shared" si="40"/>
        <v>126368.91291953773</v>
      </c>
      <c r="D176" s="88">
        <f t="shared" si="40"/>
        <v>133343.01761350519</v>
      </c>
      <c r="E176" s="88">
        <f t="shared" si="40"/>
        <v>141139.88765538039</v>
      </c>
      <c r="F176" s="88">
        <f t="shared" si="40"/>
        <v>149000.9327685443</v>
      </c>
      <c r="G176" s="88">
        <f t="shared" si="40"/>
        <v>157394.9835009964</v>
      </c>
      <c r="H176" s="88">
        <f t="shared" si="40"/>
        <v>166259.59413822962</v>
      </c>
      <c r="I176" s="88">
        <f t="shared" si="40"/>
        <v>175550.81279616186</v>
      </c>
      <c r="J176" s="88">
        <f t="shared" si="40"/>
        <v>185361.21847010986</v>
      </c>
      <c r="K176" s="88">
        <f t="shared" si="40"/>
        <v>195719.81810448863</v>
      </c>
      <c r="L176"/>
      <c r="M176" s="88"/>
      <c r="O176" s="88"/>
    </row>
    <row r="177" spans="1:16">
      <c r="A177" t="s">
        <v>6</v>
      </c>
      <c r="B177" s="88">
        <f t="shared" si="40"/>
        <v>14324.075326181735</v>
      </c>
      <c r="C177" s="88">
        <f t="shared" si="40"/>
        <v>15116.984108952405</v>
      </c>
      <c r="D177" s="88">
        <f t="shared" si="40"/>
        <v>15951.267061912562</v>
      </c>
      <c r="E177" s="88">
        <f t="shared" si="40"/>
        <v>16820.140439530696</v>
      </c>
      <c r="F177" s="88">
        <f t="shared" si="40"/>
        <v>17740.137785352897</v>
      </c>
      <c r="G177" s="88">
        <f t="shared" si="40"/>
        <v>18721.792576583568</v>
      </c>
      <c r="H177" s="88">
        <f t="shared" si="40"/>
        <v>19738.763862884258</v>
      </c>
      <c r="I177" s="88">
        <f t="shared" si="40"/>
        <v>20815.51731882567</v>
      </c>
      <c r="J177" s="88">
        <f t="shared" si="40"/>
        <v>21951.002957753273</v>
      </c>
      <c r="K177" s="88">
        <f t="shared" si="40"/>
        <v>23148.423792548092</v>
      </c>
      <c r="L177"/>
      <c r="M177" s="88"/>
      <c r="O177" s="88"/>
    </row>
    <row r="178" spans="1:16">
      <c r="A178" t="s">
        <v>7</v>
      </c>
      <c r="B178" s="88">
        <f t="shared" si="40"/>
        <v>24063.991033062659</v>
      </c>
      <c r="C178" s="88">
        <f t="shared" si="40"/>
        <v>25131.259607884604</v>
      </c>
      <c r="D178" s="88">
        <f t="shared" si="40"/>
        <v>26241.721688069818</v>
      </c>
      <c r="E178" s="88">
        <f t="shared" si="40"/>
        <v>27408.586843553279</v>
      </c>
      <c r="F178" s="88">
        <f t="shared" si="40"/>
        <v>28633.464803137751</v>
      </c>
      <c r="G178" s="88">
        <f t="shared" si="40"/>
        <v>29874.193703286073</v>
      </c>
      <c r="H178" s="88">
        <f t="shared" si="40"/>
        <v>31168.249552921858</v>
      </c>
      <c r="I178" s="88">
        <f t="shared" si="40"/>
        <v>32525.562438772911</v>
      </c>
      <c r="J178" s="88">
        <f t="shared" si="40"/>
        <v>33941.97587389603</v>
      </c>
      <c r="K178" s="88">
        <f t="shared" si="40"/>
        <v>35420.062440012909</v>
      </c>
      <c r="L178"/>
      <c r="M178" s="88"/>
      <c r="O178" s="88"/>
    </row>
    <row r="179" spans="1:16">
      <c r="A179" t="s">
        <v>8</v>
      </c>
      <c r="B179" s="88">
        <f>B161</f>
        <v>28096.874696395342</v>
      </c>
      <c r="C179" s="88">
        <f t="shared" ref="C179:K179" si="41">C161</f>
        <v>29708.389053731284</v>
      </c>
      <c r="D179" s="88">
        <f t="shared" si="41"/>
        <v>31288.521667558602</v>
      </c>
      <c r="E179" s="88">
        <f t="shared" si="41"/>
        <v>33086.730327168603</v>
      </c>
      <c r="F179" s="88">
        <f t="shared" si="41"/>
        <v>34995.773674024058</v>
      </c>
      <c r="G179" s="88">
        <f t="shared" si="41"/>
        <v>37002.28701560857</v>
      </c>
      <c r="H179" s="88">
        <f t="shared" si="41"/>
        <v>39086.285245948886</v>
      </c>
      <c r="I179" s="88">
        <f t="shared" si="41"/>
        <v>41309.669894759107</v>
      </c>
      <c r="J179" s="88">
        <f t="shared" si="41"/>
        <v>43659.519772915119</v>
      </c>
      <c r="K179" s="88">
        <f t="shared" si="41"/>
        <v>46143.02701345431</v>
      </c>
      <c r="L179"/>
      <c r="M179" s="88"/>
      <c r="N179" s="88"/>
      <c r="O179" s="88"/>
    </row>
    <row r="180" spans="1:16">
      <c r="A180" t="s">
        <v>9</v>
      </c>
      <c r="B180" s="88">
        <f t="shared" si="40"/>
        <v>20133.782360626981</v>
      </c>
      <c r="C180" s="88">
        <f t="shared" si="40"/>
        <v>21590.676775033739</v>
      </c>
      <c r="D180" s="88">
        <f t="shared" si="40"/>
        <v>23106.150807393318</v>
      </c>
      <c r="E180" s="88">
        <f t="shared" si="40"/>
        <v>24757.734135453607</v>
      </c>
      <c r="F180" s="88">
        <f t="shared" si="40"/>
        <v>26508.272884458976</v>
      </c>
      <c r="G180" s="88">
        <f t="shared" si="40"/>
        <v>28425.898376515262</v>
      </c>
      <c r="H180" s="88">
        <f t="shared" si="40"/>
        <v>30481.820117499668</v>
      </c>
      <c r="I180" s="88">
        <f t="shared" si="40"/>
        <v>32662.906935396131</v>
      </c>
      <c r="J180" s="88">
        <f t="shared" si="40"/>
        <v>35000.050710401243</v>
      </c>
      <c r="K180" s="88">
        <f t="shared" si="40"/>
        <v>37504.416280960482</v>
      </c>
      <c r="L180"/>
      <c r="M180" s="88"/>
      <c r="N180" s="88"/>
      <c r="O180" s="88"/>
    </row>
    <row r="181" spans="1:16">
      <c r="A181" t="s">
        <v>10</v>
      </c>
      <c r="B181" s="88">
        <f t="shared" si="40"/>
        <v>18140.285607789145</v>
      </c>
      <c r="C181" s="88">
        <f t="shared" si="40"/>
        <v>19017.415877914103</v>
      </c>
      <c r="D181" s="88">
        <f t="shared" si="40"/>
        <v>19876.749493488842</v>
      </c>
      <c r="E181" s="88">
        <f t="shared" si="40"/>
        <v>20780.475233528257</v>
      </c>
      <c r="F181" s="88">
        <f t="shared" si="40"/>
        <v>21771.528338221182</v>
      </c>
      <c r="G181" s="88">
        <f t="shared" si="40"/>
        <v>22845.590416114323</v>
      </c>
      <c r="H181" s="88">
        <f t="shared" si="40"/>
        <v>24040.862113923195</v>
      </c>
      <c r="I181" s="88">
        <f t="shared" si="40"/>
        <v>25232.066841544656</v>
      </c>
      <c r="J181" s="88">
        <f t="shared" si="40"/>
        <v>26482.288825137835</v>
      </c>
      <c r="K181" s="88">
        <f t="shared" si="40"/>
        <v>27794.45136936253</v>
      </c>
      <c r="L181"/>
      <c r="M181" s="88"/>
      <c r="N181" s="88"/>
      <c r="O181" s="88"/>
    </row>
    <row r="182" spans="1:16">
      <c r="A182" t="s">
        <v>18</v>
      </c>
      <c r="B182" s="88">
        <f t="shared" si="40"/>
        <v>28600.194242264795</v>
      </c>
      <c r="C182" s="88">
        <f t="shared" si="40"/>
        <v>30269.186633790068</v>
      </c>
      <c r="D182" s="88">
        <f t="shared" si="40"/>
        <v>32060.794563745942</v>
      </c>
      <c r="E182" s="88">
        <f t="shared" si="40"/>
        <v>33935.462267587282</v>
      </c>
      <c r="F182" s="88">
        <f t="shared" si="40"/>
        <v>35995.349513526897</v>
      </c>
      <c r="G182" s="88">
        <f t="shared" si="40"/>
        <v>38167.194774114163</v>
      </c>
      <c r="H182" s="88">
        <f t="shared" si="40"/>
        <v>40431.337903791726</v>
      </c>
      <c r="I182" s="88">
        <f t="shared" si="40"/>
        <v>42852.553504138363</v>
      </c>
      <c r="J182" s="88">
        <f t="shared" si="40"/>
        <v>45418.752497427362</v>
      </c>
      <c r="K182" s="88">
        <f t="shared" si="40"/>
        <v>48138.615311594331</v>
      </c>
      <c r="L182"/>
      <c r="M182" s="88"/>
      <c r="N182" s="88"/>
      <c r="O182" s="88"/>
    </row>
    <row r="183" spans="1:16">
      <c r="A183" t="s">
        <v>16</v>
      </c>
      <c r="B183" s="88">
        <f t="shared" si="40"/>
        <v>9438.0617106060163</v>
      </c>
      <c r="C183" s="88">
        <f t="shared" si="40"/>
        <v>9875.5342128112843</v>
      </c>
      <c r="D183" s="88">
        <f t="shared" si="40"/>
        <v>10341.531273351118</v>
      </c>
      <c r="E183" s="88">
        <f t="shared" si="40"/>
        <v>10832.41654484746</v>
      </c>
      <c r="F183" s="88">
        <f t="shared" si="40"/>
        <v>11349.031296312665</v>
      </c>
      <c r="G183" s="88">
        <f t="shared" si="40"/>
        <v>11897.564209544385</v>
      </c>
      <c r="H183" s="88">
        <f t="shared" si="40"/>
        <v>12472.43505928649</v>
      </c>
      <c r="I183" s="88">
        <f t="shared" si="40"/>
        <v>13069.642178088085</v>
      </c>
      <c r="J183" s="88">
        <f t="shared" si="40"/>
        <v>13695.44178718962</v>
      </c>
      <c r="K183" s="88">
        <f t="shared" si="40"/>
        <v>14351.202475341179</v>
      </c>
      <c r="L183"/>
      <c r="M183" s="88"/>
      <c r="N183" s="88"/>
      <c r="O183" s="88"/>
    </row>
    <row r="184" spans="1:16">
      <c r="A184" t="s">
        <v>11</v>
      </c>
      <c r="B184" s="88">
        <f t="shared" si="40"/>
        <v>6035.072584392613</v>
      </c>
      <c r="C184" s="88">
        <f t="shared" si="40"/>
        <v>6393.2922685844269</v>
      </c>
      <c r="D184" s="88">
        <f t="shared" si="40"/>
        <v>6771.7059096743023</v>
      </c>
      <c r="E184" s="88">
        <f t="shared" si="40"/>
        <v>7174.4377112434886</v>
      </c>
      <c r="F184" s="88">
        <f t="shared" si="40"/>
        <v>7602.7478945834537</v>
      </c>
      <c r="G184" s="88">
        <f t="shared" si="40"/>
        <v>8069.078760575243</v>
      </c>
      <c r="H184" s="88">
        <f t="shared" si="40"/>
        <v>8523.5356932081377</v>
      </c>
      <c r="I184" s="88">
        <f t="shared" si="40"/>
        <v>9025.4391623267511</v>
      </c>
      <c r="J184" s="88">
        <f t="shared" si="40"/>
        <v>9556.8947804836935</v>
      </c>
      <c r="K184" s="88">
        <f t="shared" si="40"/>
        <v>10119.642324340954</v>
      </c>
      <c r="L184"/>
      <c r="M184" s="88"/>
      <c r="N184" s="88"/>
      <c r="O184" s="88"/>
    </row>
    <row r="185" spans="1:16">
      <c r="A185" t="s">
        <v>13</v>
      </c>
      <c r="B185" s="88">
        <f t="shared" si="40"/>
        <v>13015.934321462773</v>
      </c>
      <c r="C185" s="88">
        <f t="shared" si="40"/>
        <v>13476.024721270978</v>
      </c>
      <c r="D185" s="88">
        <f t="shared" si="40"/>
        <v>13923.220163679234</v>
      </c>
      <c r="E185" s="88">
        <f t="shared" si="40"/>
        <v>14458.753862211928</v>
      </c>
      <c r="F185" s="88">
        <f t="shared" si="40"/>
        <v>15047.036138730071</v>
      </c>
      <c r="G185" s="88">
        <f t="shared" si="40"/>
        <v>15608.734786912868</v>
      </c>
      <c r="H185" s="88">
        <f t="shared" si="40"/>
        <v>16159.948137089295</v>
      </c>
      <c r="I185" s="88">
        <f t="shared" si="40"/>
        <v>16766.700865673727</v>
      </c>
      <c r="J185" s="88">
        <f t="shared" si="40"/>
        <v>17396.231249972214</v>
      </c>
      <c r="K185" s="88">
        <f t="shared" si="40"/>
        <v>18049.393987394586</v>
      </c>
      <c r="L185"/>
      <c r="M185" s="88"/>
      <c r="N185" s="88"/>
      <c r="O185" s="88"/>
    </row>
    <row r="186" spans="1:16">
      <c r="A186" s="6" t="s">
        <v>71</v>
      </c>
      <c r="B186" s="88">
        <f t="shared" si="40"/>
        <v>28791.565066927964</v>
      </c>
      <c r="C186" s="88">
        <f t="shared" si="40"/>
        <v>30298.917575967578</v>
      </c>
      <c r="D186" s="88">
        <f t="shared" si="40"/>
        <v>31880.154947029732</v>
      </c>
      <c r="E186" s="88">
        <f t="shared" si="40"/>
        <v>33584.788311616554</v>
      </c>
      <c r="F186" s="88">
        <f t="shared" si="40"/>
        <v>35388.140800757341</v>
      </c>
      <c r="G186" s="88">
        <f t="shared" si="40"/>
        <v>37275.55331184082</v>
      </c>
      <c r="H186" s="88">
        <f t="shared" si="40"/>
        <v>39225.794609276592</v>
      </c>
      <c r="I186" s="88">
        <f t="shared" si="40"/>
        <v>41300.179658613044</v>
      </c>
      <c r="J186" s="88">
        <f t="shared" si="40"/>
        <v>43484.255035020928</v>
      </c>
      <c r="K186" s="88">
        <f t="shared" si="40"/>
        <v>45783.819883571348</v>
      </c>
      <c r="L186"/>
      <c r="M186" s="88"/>
      <c r="N186" s="88"/>
      <c r="O186" s="88"/>
    </row>
    <row r="187" spans="1:16">
      <c r="A187" s="6" t="s">
        <v>166</v>
      </c>
      <c r="B187" s="285">
        <f>B169*(SUM(B175:B184)/SUM(B157:B166))</f>
        <v>27512.315392460838</v>
      </c>
      <c r="C187" s="285">
        <f t="shared" ref="C187:K187" si="42">C169*(SUM(C175:C184)/SUM(C157:C166))</f>
        <v>29078.779437635316</v>
      </c>
      <c r="D187" s="285">
        <f t="shared" si="42"/>
        <v>30707.964190971725</v>
      </c>
      <c r="E187" s="285">
        <f t="shared" si="42"/>
        <v>32493.10327595305</v>
      </c>
      <c r="F187" s="285">
        <f t="shared" si="42"/>
        <v>34405.679623997305</v>
      </c>
      <c r="G187" s="285">
        <f t="shared" si="42"/>
        <v>36383.799946852225</v>
      </c>
      <c r="H187" s="285">
        <f t="shared" si="42"/>
        <v>38471.898944951514</v>
      </c>
      <c r="I187" s="285">
        <f t="shared" si="42"/>
        <v>40693.163872974721</v>
      </c>
      <c r="J187" s="285">
        <f t="shared" si="42"/>
        <v>43043.801435786765</v>
      </c>
      <c r="K187" s="285">
        <f t="shared" si="42"/>
        <v>45531.408403272668</v>
      </c>
      <c r="L187" s="6"/>
      <c r="M187" s="261">
        <f>K187/(SUM(K175:K184)+K187)</f>
        <v>0.06</v>
      </c>
      <c r="N187" s="88"/>
      <c r="O187" s="88"/>
    </row>
    <row r="188" spans="1:16">
      <c r="A188" s="212" t="s">
        <v>218</v>
      </c>
      <c r="B188" s="88">
        <f t="shared" ref="B188:K189" si="43">B170</f>
        <v>1042.6805944431842</v>
      </c>
      <c r="C188" s="88">
        <f t="shared" si="43"/>
        <v>1042.6805944431842</v>
      </c>
      <c r="D188" s="88">
        <f t="shared" si="43"/>
        <v>1042.6805944431842</v>
      </c>
      <c r="E188" s="88">
        <f t="shared" si="43"/>
        <v>1042.6805944431842</v>
      </c>
      <c r="F188" s="88">
        <f t="shared" si="43"/>
        <v>1042.6805944431842</v>
      </c>
      <c r="G188" s="88">
        <f t="shared" si="43"/>
        <v>1042.6805944431842</v>
      </c>
      <c r="H188" s="88">
        <f t="shared" si="43"/>
        <v>1042.6805944431842</v>
      </c>
      <c r="I188" s="88">
        <f t="shared" si="43"/>
        <v>1042.6805944431842</v>
      </c>
      <c r="J188" s="88">
        <f t="shared" si="43"/>
        <v>1042.6805944431842</v>
      </c>
      <c r="K188" s="88">
        <f t="shared" si="43"/>
        <v>1042.6805944431842</v>
      </c>
      <c r="L188"/>
      <c r="M188" s="88"/>
      <c r="O188" s="88"/>
    </row>
    <row r="189" spans="1:16">
      <c r="A189" s="211" t="s">
        <v>276</v>
      </c>
      <c r="B189" s="88">
        <f t="shared" si="43"/>
        <v>3537.1633259899727</v>
      </c>
      <c r="C189" s="88">
        <f t="shared" si="43"/>
        <v>3654.809898111539</v>
      </c>
      <c r="D189" s="88">
        <f t="shared" si="43"/>
        <v>3792.7771811755811</v>
      </c>
      <c r="E189" s="88">
        <f t="shared" si="43"/>
        <v>3919.2449082998328</v>
      </c>
      <c r="F189" s="88">
        <f t="shared" si="43"/>
        <v>4033.0551672833672</v>
      </c>
      <c r="G189" s="88">
        <f t="shared" si="43"/>
        <v>4154.7747081638745</v>
      </c>
      <c r="H189" s="88">
        <f t="shared" si="43"/>
        <v>4277.5390837173345</v>
      </c>
      <c r="I189" s="88">
        <f t="shared" si="43"/>
        <v>4403.2164291837635</v>
      </c>
      <c r="J189" s="88">
        <f t="shared" si="43"/>
        <v>4527.5359880427459</v>
      </c>
      <c r="K189" s="88">
        <f t="shared" si="43"/>
        <v>4649.924250309874</v>
      </c>
      <c r="L189"/>
      <c r="M189" s="88"/>
      <c r="O189" s="88"/>
    </row>
    <row r="190" spans="1:16">
      <c r="A190" s="6" t="s">
        <v>98</v>
      </c>
      <c r="B190" s="88">
        <f>SUM(B175:B189)</f>
        <v>504925.9331831712</v>
      </c>
      <c r="C190" s="88">
        <f t="shared" ref="C190:K190" si="44">SUM(C175:C189)</f>
        <v>533118.7567503819</v>
      </c>
      <c r="D190" s="88">
        <f t="shared" si="44"/>
        <v>562438.23606918985</v>
      </c>
      <c r="E190" s="88">
        <f t="shared" si="44"/>
        <v>594557.1889424558</v>
      </c>
      <c r="F190" s="88">
        <f t="shared" si="44"/>
        <v>628938.90643450257</v>
      </c>
      <c r="G190" s="88">
        <f t="shared" si="44"/>
        <v>664478.40918223141</v>
      </c>
      <c r="H190" s="88">
        <f t="shared" si="44"/>
        <v>701904.27817371837</v>
      </c>
      <c r="I190" s="88">
        <f t="shared" si="44"/>
        <v>741732.1754308258</v>
      </c>
      <c r="J190" s="88">
        <f t="shared" si="44"/>
        <v>783847.39346392523</v>
      </c>
      <c r="K190" s="88">
        <f t="shared" si="44"/>
        <v>828382.62543693022</v>
      </c>
      <c r="L190" s="269">
        <f>(B190-B172)/$B$19</f>
        <v>0</v>
      </c>
      <c r="M190" s="269">
        <f>(K190-K172)/$K$19</f>
        <v>0</v>
      </c>
      <c r="O190" s="88"/>
    </row>
    <row r="191" spans="1:16">
      <c r="A191" s="210" t="s">
        <v>362</v>
      </c>
      <c r="P191" s="269"/>
    </row>
    <row r="192" spans="1:16">
      <c r="A192" t="s">
        <v>4</v>
      </c>
      <c r="B192" s="88">
        <f t="shared" ref="B192:B203" si="45">B175</f>
        <v>162453.2654677745</v>
      </c>
      <c r="C192" s="88">
        <f>B192*(1+UF_Assumptions_2!B16)</f>
        <v>169601.20914835657</v>
      </c>
      <c r="D192" s="88">
        <f>C192*(1+UF_Assumptions_2!C16)</f>
        <v>177402.86476918097</v>
      </c>
      <c r="E192" s="88">
        <f>D192*(1+UF_Assumptions_2!D16)</f>
        <v>185385.99368379411</v>
      </c>
      <c r="F192" s="88">
        <f>E192*(1+UF_Assumptions_2!E16)</f>
        <v>193542.97740588104</v>
      </c>
      <c r="G192" s="88">
        <f>F192*(1+UF_Assumptions_2!F16)</f>
        <v>202058.86841173982</v>
      </c>
      <c r="H192" s="88">
        <f>G192*(1+UF_Assumptions_2!G16)</f>
        <v>210949.45862185638</v>
      </c>
      <c r="I192" s="88">
        <f>H192*(1+UF_Assumptions_2!H16)</f>
        <v>220442.18425983991</v>
      </c>
      <c r="J192" s="88">
        <f>I192*(1+UF_Assumptions_2!I16)</f>
        <v>230362.08255153269</v>
      </c>
      <c r="K192" s="88">
        <f>J192*(1+UF_Assumptions_2!J16)</f>
        <v>240728.37626635164</v>
      </c>
      <c r="O192" s="13"/>
      <c r="P192" s="269"/>
    </row>
    <row r="193" spans="1:16">
      <c r="A193" t="s">
        <v>5</v>
      </c>
      <c r="B193" s="88">
        <f t="shared" si="45"/>
        <v>119740.67145279273</v>
      </c>
      <c r="C193" s="88">
        <f>B193*(1+UF_Assumptions_2!B17)</f>
        <v>125009.26099671562</v>
      </c>
      <c r="D193" s="88">
        <f>C193*(1+UF_Assumptions_2!C17)</f>
        <v>130759.68700256453</v>
      </c>
      <c r="E193" s="88">
        <f>D193*(1+UF_Assumptions_2!D17)</f>
        <v>136643.87291767992</v>
      </c>
      <c r="F193" s="88">
        <f>E193*(1+UF_Assumptions_2!E17)</f>
        <v>142656.20332605785</v>
      </c>
      <c r="G193" s="88">
        <f>F193*(1+UF_Assumptions_2!F17)</f>
        <v>148933.0762724044</v>
      </c>
      <c r="H193" s="88">
        <f>G193*(1+UF_Assumptions_2!G17)</f>
        <v>155486.1316283902</v>
      </c>
      <c r="I193" s="88">
        <f>H193*(1+UF_Assumptions_2!H17)</f>
        <v>162483.00755166775</v>
      </c>
      <c r="J193" s="88">
        <f>I193*(1+UF_Assumptions_2!I17)</f>
        <v>169794.74289149279</v>
      </c>
      <c r="K193" s="88">
        <f>J193*(1+UF_Assumptions_2!J17)</f>
        <v>177435.50632160995</v>
      </c>
      <c r="O193" s="13"/>
      <c r="P193" s="269"/>
    </row>
    <row r="194" spans="1:16">
      <c r="A194" t="s">
        <v>6</v>
      </c>
      <c r="B194" s="88">
        <f t="shared" si="45"/>
        <v>14324.075326181735</v>
      </c>
      <c r="C194" s="88">
        <f>B194*(1+UF_Assumptions_2!B18)</f>
        <v>14954.334640533732</v>
      </c>
      <c r="D194" s="88">
        <f>C194*(1+UF_Assumptions_2!C18)</f>
        <v>15642.234033998284</v>
      </c>
      <c r="E194" s="88">
        <f>D194*(1+UF_Assumptions_2!D18)</f>
        <v>16346.134565528206</v>
      </c>
      <c r="F194" s="88">
        <f>E194*(1+UF_Assumptions_2!E18)</f>
        <v>17065.364486411447</v>
      </c>
      <c r="G194" s="88">
        <f>F194*(1+UF_Assumptions_2!F18)</f>
        <v>17816.240523813551</v>
      </c>
      <c r="H194" s="88">
        <f>G194*(1+UF_Assumptions_2!G18)</f>
        <v>18600.155106861348</v>
      </c>
      <c r="I194" s="88">
        <f>H194*(1+UF_Assumptions_2!H18)</f>
        <v>19437.162086670109</v>
      </c>
      <c r="J194" s="88">
        <f>I194*(1+UF_Assumptions_2!I18)</f>
        <v>20311.834380570261</v>
      </c>
      <c r="K194" s="88">
        <f>J194*(1+UF_Assumptions_2!J18)</f>
        <v>21225.866927695923</v>
      </c>
      <c r="O194" s="13"/>
      <c r="P194" s="269"/>
    </row>
    <row r="195" spans="1:16">
      <c r="A195" t="s">
        <v>7</v>
      </c>
      <c r="B195" s="88">
        <f t="shared" si="45"/>
        <v>24063.991033062659</v>
      </c>
      <c r="C195" s="88">
        <f>B195*(1+UF_Assumptions_2!B19)</f>
        <v>25122.806638517417</v>
      </c>
      <c r="D195" s="88">
        <f>C195*(1+UF_Assumptions_2!C19)</f>
        <v>26278.455743889219</v>
      </c>
      <c r="E195" s="88">
        <f>D195*(1+UF_Assumptions_2!D19)</f>
        <v>27460.986252364233</v>
      </c>
      <c r="F195" s="88">
        <f>E195*(1+UF_Assumptions_2!E19)</f>
        <v>28669.26964746826</v>
      </c>
      <c r="G195" s="88">
        <f>F195*(1+UF_Assumptions_2!F19)</f>
        <v>29930.717511956864</v>
      </c>
      <c r="H195" s="88">
        <f>G195*(1+UF_Assumptions_2!G19)</f>
        <v>31247.669082482967</v>
      </c>
      <c r="I195" s="88">
        <f>H195*(1+UF_Assumptions_2!H19)</f>
        <v>32653.814191194699</v>
      </c>
      <c r="J195" s="88">
        <f>I195*(1+UF_Assumptions_2!I19)</f>
        <v>34123.235829798461</v>
      </c>
      <c r="K195" s="88">
        <f>J195*(1+UF_Assumptions_2!J19)</f>
        <v>35658.781442139392</v>
      </c>
      <c r="O195" s="13"/>
      <c r="P195" s="269"/>
    </row>
    <row r="196" spans="1:16">
      <c r="A196" t="s">
        <v>8</v>
      </c>
      <c r="B196" s="88">
        <f t="shared" si="45"/>
        <v>28096.874696395342</v>
      </c>
      <c r="C196" s="88">
        <f>B196*(1+UF_Assumptions_2!B20)</f>
        <v>29333.137183036739</v>
      </c>
      <c r="D196" s="88">
        <f>C196*(1+UF_Assumptions_2!C20)</f>
        <v>30682.461493456431</v>
      </c>
      <c r="E196" s="88">
        <f>D196*(1+UF_Assumptions_2!D20)</f>
        <v>32063.17226066197</v>
      </c>
      <c r="F196" s="88">
        <f>E196*(1+UF_Assumptions_2!E20)</f>
        <v>33473.9518401311</v>
      </c>
      <c r="G196" s="88">
        <f>F196*(1+UF_Assumptions_2!F20)</f>
        <v>34946.805721096869</v>
      </c>
      <c r="H196" s="88">
        <f>G196*(1+UF_Assumptions_2!G20)</f>
        <v>36484.465172825134</v>
      </c>
      <c r="I196" s="88">
        <f>H196*(1+UF_Assumptions_2!H20)</f>
        <v>38126.266105602263</v>
      </c>
      <c r="J196" s="88">
        <f>I196*(1+UF_Assumptions_2!I20)</f>
        <v>39841.948080354363</v>
      </c>
      <c r="K196" s="88">
        <f>J196*(1+UF_Assumptions_2!J20)</f>
        <v>41634.835743970303</v>
      </c>
      <c r="O196" s="13"/>
      <c r="P196" s="269"/>
    </row>
    <row r="197" spans="1:16">
      <c r="A197" t="s">
        <v>9</v>
      </c>
      <c r="B197" s="88">
        <f t="shared" si="45"/>
        <v>20133.782360626981</v>
      </c>
      <c r="C197" s="88">
        <f>B197*(1+UF_Assumptions_2!B21)</f>
        <v>21019.66878449457</v>
      </c>
      <c r="D197" s="88">
        <f>C197*(1+UF_Assumptions_2!C21)</f>
        <v>21986.57354858132</v>
      </c>
      <c r="E197" s="88">
        <f>D197*(1+UF_Assumptions_2!D21)</f>
        <v>22975.969358267477</v>
      </c>
      <c r="F197" s="88">
        <f>E197*(1+UF_Assumptions_2!E21)</f>
        <v>23986.912010031247</v>
      </c>
      <c r="G197" s="88">
        <f>F197*(1+UF_Assumptions_2!F21)</f>
        <v>25042.336138472623</v>
      </c>
      <c r="H197" s="88">
        <f>G197*(1+UF_Assumptions_2!G21)</f>
        <v>26144.19892856542</v>
      </c>
      <c r="I197" s="88">
        <f>H197*(1+UF_Assumptions_2!H21)</f>
        <v>27320.687880350863</v>
      </c>
      <c r="J197" s="88">
        <f>I197*(1+UF_Assumptions_2!I21)</f>
        <v>28550.118834966648</v>
      </c>
      <c r="K197" s="88">
        <f>J197*(1+UF_Assumptions_2!J21)</f>
        <v>29834.874182540145</v>
      </c>
      <c r="O197" s="13"/>
      <c r="P197" s="269"/>
    </row>
    <row r="198" spans="1:16">
      <c r="A198" t="s">
        <v>10</v>
      </c>
      <c r="B198" s="88">
        <f t="shared" si="45"/>
        <v>18140.285607789145</v>
      </c>
      <c r="C198" s="88">
        <f>B198*(1+UF_Assumptions_2!B22)</f>
        <v>18938.458174531868</v>
      </c>
      <c r="D198" s="88">
        <f>C198*(1+UF_Assumptions_2!C22)</f>
        <v>19809.627250560334</v>
      </c>
      <c r="E198" s="88">
        <f>D198*(1+UF_Assumptions_2!D22)</f>
        <v>20701.060476835548</v>
      </c>
      <c r="F198" s="88">
        <f>E198*(1+UF_Assumptions_2!E22)</f>
        <v>21611.907137816313</v>
      </c>
      <c r="G198" s="88">
        <f>F198*(1+UF_Assumptions_2!F22)</f>
        <v>22562.831051880232</v>
      </c>
      <c r="H198" s="88">
        <f>G198*(1+UF_Assumptions_2!G22)</f>
        <v>23555.595618162963</v>
      </c>
      <c r="I198" s="88">
        <f>H198*(1+UF_Assumptions_2!H22)</f>
        <v>24615.597420980295</v>
      </c>
      <c r="J198" s="88">
        <f>I198*(1+UF_Assumptions_2!I22)</f>
        <v>25723.299304924407</v>
      </c>
      <c r="K198" s="88">
        <f>J198*(1+UF_Assumptions_2!J22)</f>
        <v>26880.847773646004</v>
      </c>
      <c r="O198" s="13"/>
      <c r="P198" s="269"/>
    </row>
    <row r="199" spans="1:16">
      <c r="A199" t="s">
        <v>18</v>
      </c>
      <c r="B199" s="88">
        <f t="shared" si="45"/>
        <v>28600.194242264795</v>
      </c>
      <c r="C199" s="88">
        <f>B199*(1+UF_Assumptions_2!B23)</f>
        <v>29858.602788924447</v>
      </c>
      <c r="D199" s="88">
        <f>C199*(1+UF_Assumptions_2!C23)</f>
        <v>31232.098517214974</v>
      </c>
      <c r="E199" s="88">
        <f>D199*(1+UF_Assumptions_2!D23)</f>
        <v>32637.542950489646</v>
      </c>
      <c r="F199" s="88">
        <f>E199*(1+UF_Assumptions_2!E23)</f>
        <v>34073.594840311191</v>
      </c>
      <c r="G199" s="88">
        <f>F199*(1+UF_Assumptions_2!F23)</f>
        <v>35572.833013284886</v>
      </c>
      <c r="H199" s="88">
        <f>G199*(1+UF_Assumptions_2!G23)</f>
        <v>37138.037665869422</v>
      </c>
      <c r="I199" s="88">
        <f>H199*(1+UF_Assumptions_2!H23)</f>
        <v>38809.249360833543</v>
      </c>
      <c r="J199" s="88">
        <f>I199*(1+UF_Assumptions_2!I23)</f>
        <v>40555.665582071051</v>
      </c>
      <c r="K199" s="88">
        <f>J199*(1+UF_Assumptions_2!J23)</f>
        <v>42380.670533264245</v>
      </c>
      <c r="O199" s="13"/>
      <c r="P199" s="269"/>
    </row>
    <row r="200" spans="1:16">
      <c r="A200" t="s">
        <v>16</v>
      </c>
      <c r="B200" s="88">
        <f t="shared" si="45"/>
        <v>9438.0617106060163</v>
      </c>
      <c r="C200" s="88">
        <f>B200*(1+UF_Assumptions_2!B24)</f>
        <v>9853.3364258726815</v>
      </c>
      <c r="D200" s="88">
        <f>C200*(1+UF_Assumptions_2!C24)</f>
        <v>10306.589901462825</v>
      </c>
      <c r="E200" s="88">
        <f>D200*(1+UF_Assumptions_2!D24)</f>
        <v>10770.386447028652</v>
      </c>
      <c r="F200" s="88">
        <f>E200*(1+UF_Assumptions_2!E24)</f>
        <v>11244.283450697912</v>
      </c>
      <c r="G200" s="88">
        <f>F200*(1+UF_Assumptions_2!F24)</f>
        <v>11739.03192252862</v>
      </c>
      <c r="H200" s="88">
        <f>G200*(1+UF_Assumptions_2!G24)</f>
        <v>12255.549327119879</v>
      </c>
      <c r="I200" s="88">
        <f>H200*(1+UF_Assumptions_2!H24)</f>
        <v>12807.049046840273</v>
      </c>
      <c r="J200" s="88">
        <f>I200*(1+UF_Assumptions_2!I24)</f>
        <v>13383.366253948085</v>
      </c>
      <c r="K200" s="88">
        <f>J200*(1+UF_Assumptions_2!J24)</f>
        <v>13985.617735375748</v>
      </c>
      <c r="O200" s="13"/>
      <c r="P200" s="269"/>
    </row>
    <row r="201" spans="1:16">
      <c r="A201" t="s">
        <v>11</v>
      </c>
      <c r="B201" s="88">
        <f t="shared" si="45"/>
        <v>6035.072584392613</v>
      </c>
      <c r="C201" s="88">
        <f>B201*(1+UF_Assumptions_2!B25)</f>
        <v>6300.6157781058882</v>
      </c>
      <c r="D201" s="88">
        <f>C201*(1+UF_Assumptions_2!C25)</f>
        <v>6590.4441038987597</v>
      </c>
      <c r="E201" s="88">
        <f>D201*(1+UF_Assumptions_2!D25)</f>
        <v>6887.0140885742039</v>
      </c>
      <c r="F201" s="88">
        <f>E201*(1+UF_Assumptions_2!E25)</f>
        <v>7190.0427084714693</v>
      </c>
      <c r="G201" s="88">
        <f>F201*(1+UF_Assumptions_2!F25)</f>
        <v>7506.4045876442142</v>
      </c>
      <c r="H201" s="88">
        <f>G201*(1+UF_Assumptions_2!G25)</f>
        <v>7836.6863895005599</v>
      </c>
      <c r="I201" s="88">
        <f>H201*(1+UF_Assumptions_2!H25)</f>
        <v>8189.3372770280848</v>
      </c>
      <c r="J201" s="88">
        <f>I201*(1+UF_Assumptions_2!I25)</f>
        <v>8557.8574544943476</v>
      </c>
      <c r="K201" s="88">
        <f>J201*(1+UF_Assumptions_2!J25)</f>
        <v>8942.9610399465928</v>
      </c>
      <c r="O201" s="13"/>
      <c r="P201" s="269"/>
    </row>
    <row r="202" spans="1:16">
      <c r="A202" t="s">
        <v>13</v>
      </c>
      <c r="B202" s="88">
        <f t="shared" si="45"/>
        <v>13015.934321462773</v>
      </c>
      <c r="C202" s="88">
        <f t="shared" ref="C202:K202" si="46">C185</f>
        <v>13476.024721270978</v>
      </c>
      <c r="D202" s="88">
        <f t="shared" si="46"/>
        <v>13923.220163679234</v>
      </c>
      <c r="E202" s="88">
        <f t="shared" si="46"/>
        <v>14458.753862211928</v>
      </c>
      <c r="F202" s="88">
        <f t="shared" si="46"/>
        <v>15047.036138730071</v>
      </c>
      <c r="G202" s="88">
        <f t="shared" si="46"/>
        <v>15608.734786912868</v>
      </c>
      <c r="H202" s="88">
        <f t="shared" si="46"/>
        <v>16159.948137089295</v>
      </c>
      <c r="I202" s="88">
        <f t="shared" si="46"/>
        <v>16766.700865673727</v>
      </c>
      <c r="J202" s="88">
        <f t="shared" si="46"/>
        <v>17396.231249972214</v>
      </c>
      <c r="K202" s="88">
        <f t="shared" si="46"/>
        <v>18049.393987394586</v>
      </c>
      <c r="O202" s="13"/>
      <c r="P202" s="269"/>
    </row>
    <row r="203" spans="1:16">
      <c r="A203" s="6" t="s">
        <v>71</v>
      </c>
      <c r="B203" s="88">
        <f t="shared" si="45"/>
        <v>28791.565066927964</v>
      </c>
      <c r="C203" s="88">
        <f>B203*(1+UF_Assumptions_2!B27)</f>
        <v>30058.393929872796</v>
      </c>
      <c r="D203" s="88">
        <f>C203*(1+UF_Assumptions_2!C27)</f>
        <v>31441.080050646946</v>
      </c>
      <c r="E203" s="88">
        <f>D203*(1+UF_Assumptions_2!D27)</f>
        <v>32855.928652926057</v>
      </c>
      <c r="F203" s="88">
        <f>E203*(1+UF_Assumptions_2!E27)</f>
        <v>34301.589513654806</v>
      </c>
      <c r="G203" s="88">
        <f>F203*(1+UF_Assumptions_2!F27)</f>
        <v>35810.859452255616</v>
      </c>
      <c r="H203" s="88">
        <f>G203*(1+UF_Assumptions_2!G27)</f>
        <v>37386.537268154862</v>
      </c>
      <c r="I203" s="88">
        <f>H203*(1+UF_Assumptions_2!H27)</f>
        <v>39068.931445221824</v>
      </c>
      <c r="J203" s="88">
        <f>I203*(1+UF_Assumptions_2!I27)</f>
        <v>40827.033360256806</v>
      </c>
      <c r="K203" s="88">
        <f>J203*(1+UF_Assumptions_2!J27)</f>
        <v>42664.249861468357</v>
      </c>
      <c r="O203" s="13"/>
      <c r="P203" s="269"/>
    </row>
    <row r="204" spans="1:16">
      <c r="A204" s="6" t="s">
        <v>166</v>
      </c>
      <c r="B204" s="285">
        <f>B187*(SUM(B192:B201)/SUM(B175:B184))</f>
        <v>27512.315392460838</v>
      </c>
      <c r="C204" s="285">
        <f t="shared" ref="C204:K204" si="47">C187*(SUM(C192:C201)/SUM(C175:C184))</f>
        <v>28722.857269729117</v>
      </c>
      <c r="D204" s="285">
        <f t="shared" si="47"/>
        <v>30044.108704136659</v>
      </c>
      <c r="E204" s="285">
        <f t="shared" si="47"/>
        <v>31396.093595822804</v>
      </c>
      <c r="F204" s="285">
        <f t="shared" si="47"/>
        <v>32777.521714039001</v>
      </c>
      <c r="G204" s="285">
        <f t="shared" si="47"/>
        <v>34219.732669456724</v>
      </c>
      <c r="H204" s="285">
        <f t="shared" si="47"/>
        <v>35725.400906912822</v>
      </c>
      <c r="I204" s="285">
        <f t="shared" si="47"/>
        <v>37333.043947723905</v>
      </c>
      <c r="J204" s="285">
        <f t="shared" si="47"/>
        <v>39013.030925371473</v>
      </c>
      <c r="K204" s="285">
        <f t="shared" si="47"/>
        <v>40768.617317013195</v>
      </c>
      <c r="L204" s="299"/>
      <c r="M204" s="299"/>
      <c r="N204" s="261">
        <f>K204/(SUM(K192:K201)+K204)</f>
        <v>5.9999999999999991E-2</v>
      </c>
      <c r="O204" s="13"/>
      <c r="P204" s="269"/>
    </row>
    <row r="205" spans="1:16">
      <c r="A205" s="212" t="s">
        <v>218</v>
      </c>
      <c r="B205" s="88">
        <f>B188</f>
        <v>1042.6805944431842</v>
      </c>
      <c r="C205" s="88">
        <f t="shared" ref="C205:K206" si="48">C170</f>
        <v>1042.6805944431842</v>
      </c>
      <c r="D205" s="88">
        <f t="shared" si="48"/>
        <v>1042.6805944431842</v>
      </c>
      <c r="E205" s="88">
        <f t="shared" si="48"/>
        <v>1042.6805944431842</v>
      </c>
      <c r="F205" s="88">
        <f t="shared" si="48"/>
        <v>1042.6805944431842</v>
      </c>
      <c r="G205" s="88">
        <f t="shared" si="48"/>
        <v>1042.6805944431842</v>
      </c>
      <c r="H205" s="88">
        <f t="shared" si="48"/>
        <v>1042.6805944431842</v>
      </c>
      <c r="I205" s="88">
        <f t="shared" si="48"/>
        <v>1042.6805944431842</v>
      </c>
      <c r="J205" s="88">
        <f t="shared" si="48"/>
        <v>1042.6805944431842</v>
      </c>
      <c r="K205" s="88">
        <f t="shared" si="48"/>
        <v>1042.6805944431842</v>
      </c>
      <c r="O205" s="13"/>
      <c r="P205" s="269"/>
    </row>
    <row r="206" spans="1:16">
      <c r="A206" s="211" t="s">
        <v>276</v>
      </c>
      <c r="B206" s="88">
        <f>B171</f>
        <v>3537.1633259899727</v>
      </c>
      <c r="C206" s="88">
        <f t="shared" si="48"/>
        <v>3654.809898111539</v>
      </c>
      <c r="D206" s="88">
        <f t="shared" si="48"/>
        <v>3792.7771811755811</v>
      </c>
      <c r="E206" s="88">
        <f t="shared" si="48"/>
        <v>3919.2449082998328</v>
      </c>
      <c r="F206" s="88">
        <f t="shared" si="48"/>
        <v>4033.0551672833672</v>
      </c>
      <c r="G206" s="88">
        <f t="shared" si="48"/>
        <v>4154.7747081638745</v>
      </c>
      <c r="H206" s="88">
        <f t="shared" si="48"/>
        <v>4277.5390837173345</v>
      </c>
      <c r="I206" s="88">
        <f t="shared" si="48"/>
        <v>4403.2164291837635</v>
      </c>
      <c r="J206" s="88">
        <f t="shared" si="48"/>
        <v>4527.5359880427459</v>
      </c>
      <c r="K206" s="88">
        <f t="shared" si="48"/>
        <v>4649.924250309874</v>
      </c>
      <c r="O206" s="13"/>
      <c r="P206" s="269"/>
    </row>
    <row r="207" spans="1:16">
      <c r="A207" s="6" t="s">
        <v>98</v>
      </c>
      <c r="B207" s="88">
        <f>SUM(B192:B206)</f>
        <v>504925.9331831712</v>
      </c>
      <c r="C207" s="88">
        <f t="shared" ref="C207:K207" si="49">SUM(C192:C206)</f>
        <v>526946.19697251718</v>
      </c>
      <c r="D207" s="88">
        <f t="shared" si="49"/>
        <v>550934.90305888932</v>
      </c>
      <c r="E207" s="88">
        <f t="shared" si="49"/>
        <v>575544.83461492788</v>
      </c>
      <c r="F207" s="88">
        <f t="shared" si="49"/>
        <v>600716.38998142839</v>
      </c>
      <c r="G207" s="88">
        <f t="shared" si="49"/>
        <v>626945.9273660545</v>
      </c>
      <c r="H207" s="88">
        <f t="shared" si="49"/>
        <v>654290.05353195185</v>
      </c>
      <c r="I207" s="88">
        <f t="shared" si="49"/>
        <v>683498.92846325424</v>
      </c>
      <c r="J207" s="88">
        <f t="shared" si="49"/>
        <v>714010.66328223958</v>
      </c>
      <c r="K207" s="88">
        <f t="shared" si="49"/>
        <v>745883.20397716935</v>
      </c>
      <c r="L207" s="56">
        <f>(B207-B190)/$B$19</f>
        <v>0</v>
      </c>
      <c r="M207" s="56">
        <f>(K207-K190)/$K$19</f>
        <v>-9.7010246311031154E-2</v>
      </c>
      <c r="O207" s="88"/>
      <c r="P207" s="269"/>
    </row>
    <row r="208" spans="1:16" s="287" customFormat="1">
      <c r="A208" s="287" t="s">
        <v>98</v>
      </c>
      <c r="K208" s="288">
        <f>K207/K19-1</f>
        <v>-0.12292338471271469</v>
      </c>
      <c r="L208" s="301">
        <f>L173+L207</f>
        <v>-2.3365936315595012E-2</v>
      </c>
      <c r="M208" s="301">
        <f>M173+M207</f>
        <v>-0.12292338471271473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3ABD-F4A9-4389-AFD4-996C47A5DBE8}">
  <dimension ref="A1:Y57"/>
  <sheetViews>
    <sheetView topLeftCell="I1" workbookViewId="0">
      <selection activeCell="O5" sqref="O5:P5"/>
    </sheetView>
  </sheetViews>
  <sheetFormatPr defaultRowHeight="14.5"/>
  <cols>
    <col min="1" max="1" width="50.7265625" customWidth="1"/>
    <col min="2" max="2" width="12.54296875" bestFit="1" customWidth="1"/>
    <col min="3" max="3" width="10.54296875" bestFit="1" customWidth="1"/>
    <col min="4" max="4" width="12.1796875" bestFit="1" customWidth="1"/>
    <col min="5" max="5" width="10.26953125" customWidth="1"/>
    <col min="6" max="6" width="10" bestFit="1" customWidth="1"/>
    <col min="7" max="8" width="10" customWidth="1"/>
    <col min="9" max="9" width="11" customWidth="1"/>
    <col min="10" max="10" width="10.54296875" bestFit="1" customWidth="1"/>
    <col min="11" max="14" width="10.54296875" customWidth="1"/>
    <col min="15" max="15" width="11.1796875" customWidth="1"/>
    <col min="16" max="16" width="10" bestFit="1" customWidth="1"/>
    <col min="17" max="18" width="10" customWidth="1"/>
    <col min="19" max="19" width="11.1796875" customWidth="1"/>
    <col min="20" max="25" width="11.453125" customWidth="1"/>
  </cols>
  <sheetData>
    <row r="1" spans="1:25">
      <c r="A1" s="313" t="s">
        <v>574</v>
      </c>
    </row>
    <row r="2" spans="1:25">
      <c r="A2" s="233" t="s">
        <v>1037</v>
      </c>
    </row>
    <row r="3" spans="1:25">
      <c r="A3" s="343"/>
      <c r="B3" s="376" t="s">
        <v>438</v>
      </c>
      <c r="C3" s="343"/>
      <c r="D3" s="343"/>
      <c r="E3" s="343"/>
      <c r="F3" s="343"/>
      <c r="G3" s="343"/>
      <c r="H3" s="343"/>
      <c r="I3" s="343"/>
      <c r="J3" s="343"/>
      <c r="K3" s="343"/>
      <c r="L3" s="343"/>
      <c r="M3" s="343"/>
      <c r="N3" s="343"/>
      <c r="O3" s="343"/>
      <c r="P3" s="343"/>
      <c r="Q3" s="343"/>
      <c r="R3" s="343"/>
      <c r="S3" s="377" t="s">
        <v>442</v>
      </c>
      <c r="T3" s="344"/>
      <c r="U3" s="344"/>
      <c r="V3" s="344"/>
      <c r="W3" s="344"/>
    </row>
    <row r="4" spans="1:25" ht="58">
      <c r="A4" s="343"/>
      <c r="B4" s="343"/>
      <c r="C4" s="343"/>
      <c r="D4" s="343"/>
      <c r="E4" s="370" t="s">
        <v>515</v>
      </c>
      <c r="F4" s="370"/>
      <c r="G4" s="370" t="s">
        <v>516</v>
      </c>
      <c r="H4" s="370"/>
      <c r="I4" s="370" t="s">
        <v>515</v>
      </c>
      <c r="J4" s="370"/>
      <c r="K4" s="370" t="s">
        <v>515</v>
      </c>
      <c r="L4" s="370"/>
      <c r="M4" s="370" t="s">
        <v>516</v>
      </c>
      <c r="N4" s="370"/>
      <c r="O4" s="370" t="s">
        <v>515</v>
      </c>
      <c r="P4" s="370"/>
      <c r="Q4" s="370" t="s">
        <v>515</v>
      </c>
      <c r="R4" s="370"/>
      <c r="S4" s="344"/>
      <c r="T4" s="375" t="s">
        <v>515</v>
      </c>
      <c r="U4" s="375" t="s">
        <v>515</v>
      </c>
      <c r="V4" s="375" t="s">
        <v>515</v>
      </c>
      <c r="W4" s="375" t="s">
        <v>515</v>
      </c>
      <c r="X4" s="375" t="s">
        <v>516</v>
      </c>
      <c r="Y4" s="375" t="s">
        <v>516</v>
      </c>
    </row>
    <row r="5" spans="1:25" ht="29">
      <c r="A5" s="345"/>
      <c r="B5" s="346" t="s">
        <v>313</v>
      </c>
      <c r="C5" s="346"/>
      <c r="D5" s="346"/>
      <c r="E5" s="346" t="s">
        <v>1038</v>
      </c>
      <c r="F5" s="346"/>
      <c r="G5" s="346" t="s">
        <v>1038</v>
      </c>
      <c r="H5" s="346"/>
      <c r="I5" s="346" t="s">
        <v>439</v>
      </c>
      <c r="J5" s="346"/>
      <c r="K5" s="346" t="s">
        <v>489</v>
      </c>
      <c r="L5" s="346"/>
      <c r="M5" s="346" t="s">
        <v>489</v>
      </c>
      <c r="N5" s="346"/>
      <c r="O5" s="346" t="s">
        <v>440</v>
      </c>
      <c r="P5" s="346"/>
      <c r="Q5" s="500" t="s">
        <v>542</v>
      </c>
      <c r="R5" s="501"/>
      <c r="S5" s="347" t="s">
        <v>313</v>
      </c>
      <c r="T5" s="347" t="s">
        <v>1038</v>
      </c>
      <c r="U5" s="378" t="s">
        <v>439</v>
      </c>
      <c r="V5" s="378" t="s">
        <v>489</v>
      </c>
      <c r="W5" s="378" t="s">
        <v>440</v>
      </c>
      <c r="X5" s="378" t="s">
        <v>437</v>
      </c>
      <c r="Y5" s="378" t="s">
        <v>489</v>
      </c>
    </row>
    <row r="6" spans="1:25" ht="15" thickBot="1">
      <c r="A6" s="351"/>
      <c r="B6" s="352">
        <v>2019</v>
      </c>
      <c r="C6" s="352">
        <v>2022</v>
      </c>
      <c r="D6" s="352">
        <v>2031</v>
      </c>
      <c r="E6" s="352">
        <v>2022</v>
      </c>
      <c r="F6" s="352">
        <v>2031</v>
      </c>
      <c r="G6" s="352">
        <v>2022</v>
      </c>
      <c r="H6" s="352">
        <v>2031</v>
      </c>
      <c r="I6" s="352">
        <v>2022</v>
      </c>
      <c r="J6" s="352">
        <v>2031</v>
      </c>
      <c r="K6" s="352">
        <v>2022</v>
      </c>
      <c r="L6" s="352">
        <v>2031</v>
      </c>
      <c r="M6" s="352">
        <v>2022</v>
      </c>
      <c r="N6" s="352">
        <v>2031</v>
      </c>
      <c r="O6" s="352">
        <v>2022</v>
      </c>
      <c r="P6" s="352">
        <v>2031</v>
      </c>
      <c r="Q6" s="352">
        <v>2022</v>
      </c>
      <c r="R6" s="352">
        <v>2031</v>
      </c>
      <c r="S6" s="353">
        <v>2031</v>
      </c>
      <c r="T6" s="353">
        <v>2031</v>
      </c>
      <c r="U6" s="353">
        <v>2031</v>
      </c>
      <c r="V6" s="353">
        <v>2031</v>
      </c>
      <c r="W6" s="353">
        <v>2031</v>
      </c>
      <c r="X6" s="353">
        <v>2031</v>
      </c>
      <c r="Y6" s="353">
        <v>2031</v>
      </c>
    </row>
    <row r="7" spans="1:25" s="7" customFormat="1">
      <c r="A7" s="357" t="s">
        <v>433</v>
      </c>
      <c r="B7" s="513">
        <f>Baseline!G37</f>
        <v>440641.0314676761</v>
      </c>
      <c r="C7" s="358">
        <f>Baseline!J37</f>
        <v>517006.26873315335</v>
      </c>
      <c r="D7" s="358">
        <f>Baseline!S37</f>
        <v>850419.6679931503</v>
      </c>
      <c r="E7" s="358">
        <f>UF_Calculations_1!B18</f>
        <v>501156.9190844929</v>
      </c>
      <c r="F7" s="358">
        <f>UF_Calculations_1!K18</f>
        <v>786451.80216822727</v>
      </c>
      <c r="G7" s="358">
        <f>E7</f>
        <v>501156.9190844929</v>
      </c>
      <c r="H7" s="358">
        <f>F7</f>
        <v>786451.80216822727</v>
      </c>
      <c r="I7" s="358">
        <f>UF_Calculations_1!B52</f>
        <v>482226.40267381025</v>
      </c>
      <c r="J7" s="358">
        <f>UF_Calculations_1!K52</f>
        <v>756515.08958973701</v>
      </c>
      <c r="K7" s="358">
        <f>UF_Calculations_1!B86</f>
        <v>501156.9190844929</v>
      </c>
      <c r="L7" s="358">
        <f>UF_Calculations_1!K86</f>
        <v>739474.39919602068</v>
      </c>
      <c r="M7" s="358">
        <f>K7</f>
        <v>501156.9190844929</v>
      </c>
      <c r="N7" s="358">
        <f>L7</f>
        <v>739474.39919602068</v>
      </c>
      <c r="O7" s="358">
        <f>UF_Calculations_1!B120</f>
        <v>527133.12310469057</v>
      </c>
      <c r="P7" s="358">
        <f>UF_Calculations_1!K120</f>
        <v>827265.54945649963</v>
      </c>
      <c r="Q7" s="358">
        <f>UF_Calculations_1!B222</f>
        <v>508186.973448848</v>
      </c>
      <c r="R7" s="358">
        <f>UF_Calculations_1!K222</f>
        <v>797244.56124978757</v>
      </c>
      <c r="S7" s="366">
        <f>D7*$C$27/$C$28</f>
        <v>675047.32242224156</v>
      </c>
      <c r="T7" s="366">
        <f>F7*$C$27/$C$28</f>
        <v>624270.81974788511</v>
      </c>
      <c r="U7" s="366">
        <f>J7*$C$27/$C$28</f>
        <v>600507.61385223211</v>
      </c>
      <c r="V7" s="366">
        <f>L7*$C$27/$C$28</f>
        <v>586981.03061874409</v>
      </c>
      <c r="W7" s="366">
        <f>P7*$C$27/$C$28</f>
        <v>656668.01358276268</v>
      </c>
      <c r="X7" s="366">
        <f>H7*$C$27/$C$28</f>
        <v>624270.81974788511</v>
      </c>
      <c r="Y7" s="366">
        <f>N7*$C$27/$C$28</f>
        <v>586981.03061874409</v>
      </c>
    </row>
    <row r="8" spans="1:25" s="7" customFormat="1">
      <c r="A8" s="359" t="s">
        <v>434</v>
      </c>
      <c r="B8" s="361">
        <f>SUM(B9:B12)</f>
        <v>156014.16740041869</v>
      </c>
      <c r="C8" s="360">
        <f>SUM(C9:C12)</f>
        <v>204387.09717530498</v>
      </c>
      <c r="D8" s="360">
        <f>SUM(D9:D12)</f>
        <v>373472.33995669772</v>
      </c>
      <c r="E8" s="360">
        <f>$C$8</f>
        <v>204387.09717530498</v>
      </c>
      <c r="F8" s="360">
        <f>$D$8</f>
        <v>373472.33995669772</v>
      </c>
      <c r="G8" s="360">
        <f>$C$8</f>
        <v>204387.09717530498</v>
      </c>
      <c r="H8" s="360">
        <f>SUM(H9:H12)</f>
        <v>358050.15588901436</v>
      </c>
      <c r="I8" s="360">
        <f>$C$8</f>
        <v>204387.09717530498</v>
      </c>
      <c r="J8" s="360">
        <f>$D$8</f>
        <v>373472.33995669772</v>
      </c>
      <c r="K8" s="360">
        <f>$C$8</f>
        <v>204387.09717530498</v>
      </c>
      <c r="L8" s="360">
        <f>$D$8</f>
        <v>373472.33995669772</v>
      </c>
      <c r="M8" s="360">
        <f>$C$8</f>
        <v>204387.09717530498</v>
      </c>
      <c r="N8" s="360">
        <f>SUM(N9:N12)</f>
        <v>334549.95493316697</v>
      </c>
      <c r="O8" s="360">
        <f>$C$8</f>
        <v>204387.09717530498</v>
      </c>
      <c r="P8" s="360">
        <f>$D$8</f>
        <v>373472.33995669772</v>
      </c>
      <c r="Q8" s="360">
        <f>$C$8</f>
        <v>204387.09717530498</v>
      </c>
      <c r="R8" s="360">
        <f>$D$8</f>
        <v>373472.33995669772</v>
      </c>
      <c r="S8" s="366">
        <f>D8*$C$27/$C$28</f>
        <v>296455.40028663655</v>
      </c>
      <c r="T8" s="366">
        <f>F8*$C$27/$C$28</f>
        <v>296455.40028663655</v>
      </c>
      <c r="U8" s="366">
        <f>J8*$C$27/$C$28</f>
        <v>296455.40028663655</v>
      </c>
      <c r="V8" s="366">
        <f>L8*$C$27/$C$28</f>
        <v>296455.40028663655</v>
      </c>
      <c r="W8" s="366">
        <f>P8*$C$27/$C$28</f>
        <v>296455.40028663655</v>
      </c>
      <c r="X8" s="366">
        <f>H8*$C$27/$C$28</f>
        <v>284213.55728533329</v>
      </c>
      <c r="Y8" s="366">
        <f>N8*$C$27/$C$28</f>
        <v>265559.53465546493</v>
      </c>
    </row>
    <row r="9" spans="1:25">
      <c r="A9" s="345" t="s">
        <v>443</v>
      </c>
      <c r="B9" s="356">
        <f>Baseline!G39</f>
        <v>89379.337289413874</v>
      </c>
      <c r="C9" s="349">
        <f>Baseline!J39</f>
        <v>111240.80815570621</v>
      </c>
      <c r="D9" s="349">
        <f>Baseline!S39</f>
        <v>216469.13456334861</v>
      </c>
      <c r="E9" s="349"/>
      <c r="F9" s="349"/>
      <c r="G9" s="368"/>
      <c r="H9" s="349">
        <f>C9*(1+UF_Calculations_7!C42)^9</f>
        <v>207588.81195542371</v>
      </c>
      <c r="I9" s="368"/>
      <c r="J9" s="349"/>
      <c r="K9" s="349"/>
      <c r="L9" s="349"/>
      <c r="M9" s="349"/>
      <c r="N9" s="349">
        <f>C9*(1+UF_Calculations_7!D42)^9</f>
        <v>194052.5756364188</v>
      </c>
      <c r="O9" s="349"/>
      <c r="P9" s="349"/>
      <c r="Q9" s="349"/>
      <c r="R9" s="349"/>
      <c r="S9" s="348"/>
      <c r="T9" s="350"/>
      <c r="U9" s="350"/>
      <c r="V9" s="350"/>
      <c r="W9" s="350"/>
      <c r="X9" s="350"/>
      <c r="Y9" s="350"/>
    </row>
    <row r="10" spans="1:25">
      <c r="A10" s="345" t="s">
        <v>444</v>
      </c>
      <c r="B10" s="356">
        <f>Baseline!G41*'Input_Medi-Cal'!L5</f>
        <v>60066.334868609389</v>
      </c>
      <c r="C10" s="349">
        <f>Baseline!J41*'Input_Medi-Cal'!L5</f>
        <v>71475.601231843742</v>
      </c>
      <c r="D10" s="349">
        <f>Baseline!S41*'Input_Medi-Cal'!L5</f>
        <v>119839.33071294098</v>
      </c>
      <c r="E10" s="349"/>
      <c r="F10" s="349"/>
      <c r="G10" s="349"/>
      <c r="H10" s="349">
        <f>C10*(1+UF_Calculations_7!C43)^9</f>
        <v>114842.60218612832</v>
      </c>
      <c r="I10" s="349"/>
      <c r="J10" s="349"/>
      <c r="K10" s="349"/>
      <c r="L10" s="349"/>
      <c r="M10" s="349"/>
      <c r="N10" s="349">
        <f>C10*(1+UF_Calculations_7!D43)^9</f>
        <v>107232.2926327993</v>
      </c>
      <c r="O10" s="349"/>
      <c r="P10" s="349"/>
      <c r="Q10" s="349"/>
      <c r="R10" s="349"/>
      <c r="S10" s="348"/>
      <c r="T10" s="350"/>
      <c r="U10" s="350"/>
      <c r="V10" s="350"/>
      <c r="W10" s="350"/>
      <c r="X10" s="350"/>
      <c r="Y10" s="350"/>
    </row>
    <row r="11" spans="1:25">
      <c r="A11" s="345" t="s">
        <v>445</v>
      </c>
      <c r="B11" s="356"/>
      <c r="C11" s="356">
        <v>11694.638000000001</v>
      </c>
      <c r="D11" s="349">
        <f>C11*(1+Input_CMS_5!M35/100)*(1+Input_CMS_5!N35/100)*(1+Input_CMS_5!O35/100)*(1+Input_CMS_5!P35/100)*(1+Input_CMS_5!Q35/100)*(1+Input_CMS_5!R35/100)*(1+AVERAGE(Input_CMS_5!$P$35:$R$35)/100)*(1+AVERAGE(Input_CMS_5!$P$35:$R$35)/100)*(1+AVERAGE(Input_CMS_5!$P$35:$R$35)/100)</f>
        <v>21722.110491429001</v>
      </c>
      <c r="E11" s="349"/>
      <c r="F11" s="349"/>
      <c r="G11" s="349"/>
      <c r="H11" s="349">
        <f>C11*(1+UF_Calculations_7!C44)^9</f>
        <v>20826.458343978131</v>
      </c>
      <c r="I11" s="349"/>
      <c r="J11" s="349"/>
      <c r="K11" s="349"/>
      <c r="L11" s="349"/>
      <c r="M11" s="349"/>
      <c r="N11" s="349">
        <f>C11*(1+UF_Calculations_7!D44)^9</f>
        <v>19461.564141011499</v>
      </c>
      <c r="O11" s="349"/>
      <c r="P11" s="349"/>
      <c r="Q11" s="349"/>
      <c r="R11" s="349"/>
      <c r="S11" s="348"/>
      <c r="T11" s="350"/>
      <c r="U11" s="350"/>
      <c r="V11" s="350"/>
      <c r="W11" s="350"/>
      <c r="X11" s="350"/>
      <c r="Y11" s="350"/>
    </row>
    <row r="12" spans="1:25">
      <c r="A12" s="345" t="s">
        <v>446</v>
      </c>
      <c r="B12" s="356">
        <f>Baseline!H43/(1+Input_CMS_2!E71/100)</f>
        <v>6568.4952423954373</v>
      </c>
      <c r="C12" s="349">
        <f>Baseline!J43</f>
        <v>9976.0497877549988</v>
      </c>
      <c r="D12" s="349">
        <f>Baseline!S43</f>
        <v>15441.764188979123</v>
      </c>
      <c r="E12" s="349"/>
      <c r="F12" s="349"/>
      <c r="G12" s="349"/>
      <c r="H12" s="349">
        <f>C12*(1+UF_Calculations_7!C45)^9</f>
        <v>14792.283403484131</v>
      </c>
      <c r="I12" s="349"/>
      <c r="J12" s="349"/>
      <c r="K12" s="349"/>
      <c r="L12" s="349"/>
      <c r="M12" s="349"/>
      <c r="N12" s="349">
        <f>C12*(1+UF_Calculations_7!D45)^9</f>
        <v>13803.522522937354</v>
      </c>
      <c r="O12" s="349"/>
      <c r="P12" s="349"/>
      <c r="Q12" s="349"/>
      <c r="R12" s="349"/>
      <c r="S12" s="348"/>
      <c r="T12" s="350"/>
      <c r="U12" s="350"/>
      <c r="V12" s="350"/>
      <c r="W12" s="350"/>
      <c r="X12" s="350"/>
      <c r="Y12" s="350"/>
    </row>
    <row r="13" spans="1:25" s="7" customFormat="1">
      <c r="A13" s="359" t="s">
        <v>435</v>
      </c>
      <c r="B13" s="361"/>
      <c r="C13" s="360">
        <f>SUM(C14:C15)</f>
        <v>44873.047061021512</v>
      </c>
      <c r="D13" s="360">
        <f>SUM(D14:D15)</f>
        <v>76240.808038885676</v>
      </c>
      <c r="E13" s="360">
        <f>C13</f>
        <v>44873.047061021512</v>
      </c>
      <c r="F13" s="360">
        <f>E13*(1+(Input_CMS_2!B74-0.5)/100)*(1+(Input_CMS_2!B75-0.5)/100)*(1+(Input_CMS_2!B76-0.5)/100)*(1+(Input_CMS_2!B77-0.5)/100)*(1+(Input_CMS_2!B78-0.5)/100)*(1+(Input_CMS_2!B79-0.5)/100)*(1+(AVERAGE(Input_CMS_2!$B$77:$B$79)-0.5)/100)*(1+(AVERAGE(Input_CMS_2!$B$77:$B$79)-0.5)/100)*(1+(AVERAGE(Input_CMS_2!$B$77:$B$79)-0.5)/100)</f>
        <v>70479.277865506301</v>
      </c>
      <c r="G13" s="358">
        <f>E13</f>
        <v>44873.047061021512</v>
      </c>
      <c r="H13" s="358">
        <f>F13</f>
        <v>70479.277865506301</v>
      </c>
      <c r="I13" s="358">
        <f>C13</f>
        <v>44873.047061021512</v>
      </c>
      <c r="J13" s="358">
        <f>I13*(1+(Input_CMS_2!B74-0.5)/100)*(1+(Input_CMS_2!B75-0.5)/100)*(1+(Input_CMS_2!B76-0.5)/100)*(1+(Input_CMS_2!B77-0.5)/100)*(1+(Input_CMS_2!B78-0.5)/100)*(1+(Input_CMS_2!B79-0.5)/100)*(1+(AVERAGE(Input_CMS_2!$B$77:$B$79)-0.5)/100)*(1+(AVERAGE(Input_CMS_2!$B$77:$B$79)-0.5)/100)*(1+(AVERAGE(Input_CMS_2!$B$77:$B$79)-0.5)/100)</f>
        <v>70479.277865506301</v>
      </c>
      <c r="K13" s="360">
        <f>C13</f>
        <v>44873.047061021512</v>
      </c>
      <c r="L13" s="360">
        <f>E13*(1+Input_CMS_6!M23/100)*(1+Input_CMS_6!N23/100)*(1+Input_CMS_6!O23/100)*(1+Input_CMS_6!P23/100)*(1+Input_CMS_6!Q23/100)*(1+Input_CMS_6!R23/100)*(1+(AVERAGE(Input_CMS_6!P23:R23)/100)*(1+(AVERAGE(Input_CMS_6!P23:R23)/100)*(1+(AVERAGE(Input_CMS_6!P23:R23)/100))))</f>
        <v>60950.322861026827</v>
      </c>
      <c r="M13" s="360">
        <f>K13</f>
        <v>44873.047061021512</v>
      </c>
      <c r="N13" s="360">
        <f>E13*(1+Input_CMS_6!M23/100)*(1+Input_CMS_6!N23/100)*(1+Input_CMS_6!O23/100)*(1+Input_CMS_6!P23/100)*(1+Input_CMS_6!Q23/100)*(1+Input_CMS_6!R23/100)*(1+(AVERAGE(Input_CMS_6!P23:R23)/100)*(1+(AVERAGE(Input_CMS_6!P23:R23)/100)*(1+(AVERAGE(Input_CMS_6!P23:R23)/100))))</f>
        <v>60950.322861026827</v>
      </c>
      <c r="O13" s="360">
        <f>C13</f>
        <v>44873.047061021512</v>
      </c>
      <c r="P13" s="360">
        <f>O13*(1+(Input_CMS_2!B74-0.5)/100)*(1+(Input_CMS_2!B75-0.5)/100)*(1+(Input_CMS_2!B76-0.5)/100)*(1+(Input_CMS_2!B77-0.5)/100)*(1+(Input_CMS_2!B78-0.5)/100)*(1+(Input_CMS_2!B79-0.5)/100)*(1+(AVERAGE(Input_CMS_2!$B$77:$B$79)-0.5)/100)*(1+(AVERAGE(Input_CMS_2!$B$77:$B$79)-0.5)/100)*(1+(AVERAGE(Input_CMS_2!$B$77:$B$79)-0.5)/100)</f>
        <v>70479.277865506301</v>
      </c>
      <c r="Q13" s="360">
        <f>O13</f>
        <v>44873.047061021512</v>
      </c>
      <c r="R13" s="360">
        <f>Q13*(1+(Input_CMS_2!N74-0.5)/100)*(1+(Input_CMS_2!N75-0.5)/100)*(1+(Input_CMS_2!N76-0.5)/100)*(1+(Input_CMS_2!N77-0.5)/100)*(1+(Input_CMS_2!N78-0.5)/100)*(1+(Input_CMS_2!N79-0.5)/100)*(1+(AVERAGE(Input_CMS_2!$B$77:$B$79)-0.5)/100)*(1+(AVERAGE(Input_CMS_2!$B$77:$B$79)-0.5)/100)*(1+(AVERAGE(Input_CMS_2!$B$77:$B$79)-0.5)/100)</f>
        <v>50647.54184644307</v>
      </c>
      <c r="S13" s="366">
        <f>D13*$C$27/$C$28</f>
        <v>60518.536039282219</v>
      </c>
      <c r="T13" s="366">
        <f>F13*$C$27/$C$28</f>
        <v>55945.140499439149</v>
      </c>
      <c r="U13" s="366">
        <f>J13*$C$27/$C$28</f>
        <v>55945.140499439149</v>
      </c>
      <c r="V13" s="366">
        <f>L13*$C$27/$C$28</f>
        <v>48381.233168326369</v>
      </c>
      <c r="W13" s="366">
        <f>P13*$C$27/$C$28</f>
        <v>55945.140499439149</v>
      </c>
      <c r="X13" s="366">
        <f>H13*$C$27/$C$28</f>
        <v>55945.140499439149</v>
      </c>
      <c r="Y13" s="366">
        <f>N13*$C$27/$C$28</f>
        <v>48381.233168326369</v>
      </c>
    </row>
    <row r="14" spans="1:25">
      <c r="A14" s="345" t="s">
        <v>444</v>
      </c>
      <c r="B14" s="356"/>
      <c r="C14" s="349">
        <f>Baseline!J41-UF_Calculations_7!C10</f>
        <v>39316.69406102151</v>
      </c>
      <c r="D14" s="349">
        <f>Baseline!S41-UF_Calculations_7!D10</f>
        <v>65920.205229685176</v>
      </c>
      <c r="E14" s="349"/>
      <c r="F14" s="371"/>
      <c r="G14" s="349"/>
      <c r="H14" s="371"/>
      <c r="I14" s="349"/>
      <c r="J14" s="371"/>
      <c r="K14" s="349"/>
      <c r="L14" s="349"/>
      <c r="M14" s="349"/>
      <c r="N14" s="371"/>
      <c r="O14" s="349"/>
      <c r="P14" s="349"/>
      <c r="Q14" s="385"/>
      <c r="R14" s="385"/>
      <c r="S14" s="366"/>
      <c r="T14" s="366"/>
      <c r="U14" s="366"/>
      <c r="V14" s="366"/>
      <c r="W14" s="366"/>
      <c r="X14" s="366"/>
      <c r="Y14" s="366"/>
    </row>
    <row r="15" spans="1:25">
      <c r="A15" s="345" t="s">
        <v>445</v>
      </c>
      <c r="B15" s="356"/>
      <c r="C15" s="349">
        <f>5556.353</f>
        <v>5556.3530000000001</v>
      </c>
      <c r="D15" s="349">
        <f>C15*(1+Input_CMS_5!M35/100)*(1+Input_CMS_5!N35/100)*(1+Input_CMS_5!O35/100)*(1+Input_CMS_5!P35/100)*(1+Input_CMS_5!Q35/100)*(1+Input_CMS_5!R35/100)*(1+AVERAGE(Input_CMS_5!$P$35:$R$35)/100)*(1+AVERAGE(Input_CMS_5!$P$35:$R$35)/100)*(1+AVERAGE(Input_CMS_5!$P$35:$R$35)/100)</f>
        <v>10320.602809200505</v>
      </c>
      <c r="E15" s="349"/>
      <c r="F15" s="349"/>
      <c r="G15" s="349"/>
      <c r="H15" s="349"/>
      <c r="I15" s="349"/>
      <c r="J15" s="349"/>
      <c r="K15" s="349"/>
      <c r="L15" s="349"/>
      <c r="M15" s="349"/>
      <c r="N15" s="349"/>
      <c r="O15" s="349"/>
      <c r="P15" s="349"/>
      <c r="Q15" s="385"/>
      <c r="R15" s="385"/>
      <c r="S15" s="366"/>
      <c r="T15" s="366"/>
      <c r="U15" s="366"/>
      <c r="V15" s="366"/>
      <c r="W15" s="366"/>
      <c r="X15" s="366"/>
      <c r="Y15" s="366"/>
    </row>
    <row r="16" spans="1:25" s="7" customFormat="1" ht="29">
      <c r="A16" s="372" t="s">
        <v>1049</v>
      </c>
      <c r="B16" s="361">
        <f>B17+B21+B22</f>
        <v>205509.67661096909</v>
      </c>
      <c r="C16" s="361">
        <f>C17+C21+C22</f>
        <v>222475.05800798882</v>
      </c>
      <c r="D16" s="361">
        <f>D17+D21+D22</f>
        <v>339223.4103990689</v>
      </c>
      <c r="E16" s="360">
        <f>E7-E8-E13-E24</f>
        <v>206625.70835932842</v>
      </c>
      <c r="F16" s="360">
        <f>F7-F8-F13-F24</f>
        <v>281017.07474752521</v>
      </c>
      <c r="G16" s="360">
        <f>G7-G8-G13-G24</f>
        <v>206625.70835932842</v>
      </c>
      <c r="H16" s="360">
        <f>H7-H8-H13-H24</f>
        <v>296439.25881520857</v>
      </c>
      <c r="I16" s="360">
        <f>I7-I8-I13-I24-I23</f>
        <v>167905.71450115409</v>
      </c>
      <c r="J16" s="360">
        <f>J7-J8-J13-J24-J23</f>
        <v>219789.13596152316</v>
      </c>
      <c r="K16" s="360">
        <f t="shared" ref="K16:P16" si="0">K7-K8-K13-K24</f>
        <v>206625.70835932842</v>
      </c>
      <c r="L16" s="360">
        <f t="shared" si="0"/>
        <v>243568.62677979813</v>
      </c>
      <c r="M16" s="360">
        <f t="shared" si="0"/>
        <v>206625.70835932842</v>
      </c>
      <c r="N16" s="360">
        <f>N7-N8-N13-N24</f>
        <v>282491.01180332882</v>
      </c>
      <c r="O16" s="360">
        <f t="shared" si="0"/>
        <v>232601.91237952604</v>
      </c>
      <c r="P16" s="360">
        <f t="shared" si="0"/>
        <v>321830.82203579758</v>
      </c>
      <c r="Q16" s="360">
        <f>Q7-Q8-Q13-Q24-Q23</f>
        <v>193866.28527619183</v>
      </c>
      <c r="R16" s="360">
        <f>R7-R8-R13-R24-R23</f>
        <v>280350.34364063694</v>
      </c>
      <c r="S16" s="366">
        <f>D16*$C$27/$C$28</f>
        <v>269269.23672075401</v>
      </c>
      <c r="T16" s="366">
        <f>F16*$C$27/$C$28</f>
        <v>223066.12958624063</v>
      </c>
      <c r="U16" s="366">
        <f>J16*$C$27/$C$28</f>
        <v>174464.53005778702</v>
      </c>
      <c r="V16" s="366">
        <f>L16*$C$27/$C$28</f>
        <v>193340.24778821241</v>
      </c>
      <c r="W16" s="366">
        <f>P16*$C$27/$C$28</f>
        <v>255463.32342111817</v>
      </c>
      <c r="X16" s="366">
        <f>H16*$C$27/$C$28</f>
        <v>235307.97258754389</v>
      </c>
      <c r="Y16" s="366">
        <f>N16*$C$27/$C$28</f>
        <v>224236.11341938403</v>
      </c>
    </row>
    <row r="17" spans="1:25">
      <c r="A17" s="345" t="s">
        <v>514</v>
      </c>
      <c r="B17" s="356">
        <f>Baseline!G42</f>
        <v>151822.06633115397</v>
      </c>
      <c r="C17" s="349">
        <f>Baseline!J42-C12</f>
        <v>164268.60537408179</v>
      </c>
      <c r="D17" s="349">
        <f>Baseline!S42-D12</f>
        <v>254354.33523821388</v>
      </c>
      <c r="E17" s="349"/>
      <c r="F17" s="349"/>
      <c r="G17" s="349"/>
      <c r="H17" s="349"/>
      <c r="I17" s="349"/>
      <c r="J17" s="349"/>
      <c r="K17" s="349"/>
      <c r="L17" s="349"/>
      <c r="M17" s="349"/>
      <c r="N17" s="349"/>
      <c r="O17" s="349"/>
      <c r="P17" s="349"/>
      <c r="Q17" s="349"/>
      <c r="R17" s="349"/>
      <c r="S17" s="348"/>
      <c r="T17" s="350"/>
      <c r="U17" s="350"/>
      <c r="V17" s="350"/>
      <c r="W17" s="350"/>
      <c r="X17" s="350"/>
      <c r="Y17" s="350"/>
    </row>
    <row r="18" spans="1:25">
      <c r="A18" s="345" t="s">
        <v>447</v>
      </c>
      <c r="B18" s="349">
        <f>'Input_ESI premiums'!B17*1000</f>
        <v>98411.559488166895</v>
      </c>
      <c r="C18" s="349">
        <f>B18*(1+Input_CMS_2!E71/100)*(1+Input_CMS_2!E72/100)*(1+Input_CMS_2!E73/100)</f>
        <v>112945.95483604951</v>
      </c>
      <c r="D18" s="349">
        <f>C18*(1+Input_CMS_2!E74/100)*(1+Input_CMS_2!E75/100)*(1+Input_CMS_2!E76/100)*(1+Input_CMS_2!E77/100)*(1+Input_CMS_2!E78/100)*(1+Input_CMS_2!E79/100)*(1+AVERAGE(Input_CMS_2!$E$77:$E$79)/100)*(1+AVERAGE(Input_CMS_2!$E$77:$E$79)/100)*(1+AVERAGE(Input_CMS_2!$E$77:$E$79)/100)</f>
        <v>174882.71323182684</v>
      </c>
      <c r="E18" s="349"/>
      <c r="F18" s="349"/>
      <c r="G18" s="349"/>
      <c r="H18" s="349"/>
      <c r="I18" s="349"/>
      <c r="J18" s="349"/>
      <c r="K18" s="349"/>
      <c r="L18" s="349"/>
      <c r="M18" s="349"/>
      <c r="N18" s="349"/>
      <c r="O18" s="349"/>
      <c r="P18" s="349"/>
      <c r="Q18" s="349"/>
      <c r="R18" s="349"/>
      <c r="S18" s="348"/>
      <c r="T18" s="350"/>
      <c r="U18" s="350"/>
      <c r="V18" s="350"/>
      <c r="W18" s="350"/>
      <c r="X18" s="350"/>
      <c r="Y18" s="350"/>
    </row>
    <row r="19" spans="1:25">
      <c r="A19" s="345" t="s">
        <v>448</v>
      </c>
      <c r="B19" s="349">
        <f>'Input_ESI premiums'!B18*1000</f>
        <v>26097.334951853583</v>
      </c>
      <c r="C19" s="349">
        <f>B19*(1+Input_CMS_2!E71/100)*(1+Input_CMS_2!E72/100)*(1+Input_CMS_2!E73/100)</f>
        <v>29951.648263106043</v>
      </c>
      <c r="D19" s="349">
        <f>C19*(1+Input_CMS_2!E75/100)*(1+Input_CMS_2!E76/100)*(1+Input_CMS_2!E77/100)*(1+Input_CMS_2!E78/100)*(1+Input_CMS_2!E79/100)*(1+Input_CMS_2!E80/100)*(1+AVERAGE(Input_CMS_2!$E$77:$E$79)/100)*(1+AVERAGE(Input_CMS_2!$E$77:$E$79)/100)*(1+AVERAGE(Input_CMS_2!$E$77:$E$79)/100)</f>
        <v>44167.989326195027</v>
      </c>
      <c r="E19" s="349"/>
      <c r="F19" s="349"/>
      <c r="G19" s="349"/>
      <c r="H19" s="349"/>
      <c r="I19" s="349"/>
      <c r="J19" s="349"/>
      <c r="K19" s="349"/>
      <c r="L19" s="349"/>
      <c r="M19" s="349"/>
      <c r="N19" s="349"/>
      <c r="O19" s="349"/>
      <c r="P19" s="349"/>
      <c r="Q19" s="349"/>
      <c r="R19" s="349"/>
      <c r="S19" s="348"/>
      <c r="T19" s="350"/>
      <c r="U19" s="350"/>
      <c r="V19" s="350"/>
      <c r="W19" s="350"/>
      <c r="X19" s="350"/>
      <c r="Y19" s="350"/>
    </row>
    <row r="20" spans="1:25">
      <c r="A20" s="345" t="s">
        <v>513</v>
      </c>
      <c r="B20" s="355"/>
      <c r="C20" s="349">
        <f>C17-C18-C19</f>
        <v>21371.002274926235</v>
      </c>
      <c r="D20" s="349">
        <f>D17-D18-D19</f>
        <v>35303.632680192015</v>
      </c>
      <c r="E20" s="349"/>
      <c r="F20" s="349"/>
      <c r="G20" s="349"/>
      <c r="H20" s="349"/>
      <c r="I20" s="349"/>
      <c r="J20" s="349"/>
      <c r="K20" s="349"/>
      <c r="L20" s="349"/>
      <c r="M20" s="349"/>
      <c r="N20" s="349"/>
      <c r="O20" s="349"/>
      <c r="P20" s="349"/>
      <c r="Q20" s="349"/>
      <c r="R20" s="349"/>
      <c r="S20" s="348"/>
      <c r="T20" s="350"/>
      <c r="U20" s="350"/>
      <c r="V20" s="350"/>
      <c r="W20" s="350"/>
      <c r="X20" s="350"/>
      <c r="Y20" s="350"/>
    </row>
    <row r="21" spans="1:25">
      <c r="A21" s="345" t="s">
        <v>449</v>
      </c>
      <c r="B21" s="356">
        <f>(Input_CMS_1!Y6/Input_CMS_1!Y4)*B7</f>
        <v>47194.124279815129</v>
      </c>
      <c r="C21" s="349">
        <f>(Input_CMS_2!C16/Input_CMS_2!B16)*C7</f>
        <v>50923.261074277601</v>
      </c>
      <c r="D21" s="349">
        <f>C21*(1+Input_CMS_2!C74/100)*(1+Input_CMS_2!C75/100)*(1+Input_CMS_2!C76/100)*(1+Input_CMS_2!C77/100)*(1+Input_CMS_2!C78/100)*(1+Input_CMS_2!C79/100)*(1+AVERAGE(Input_CMS_2!C77:C79)/100)*(1+AVERAGE(Input_CMS_2!C77:C79)/100)*(1+AVERAGE(Input_CMS_2!C77:C79)/100)</f>
        <v>74311.904890080506</v>
      </c>
      <c r="E21" s="349"/>
      <c r="F21" s="349"/>
      <c r="G21" s="349"/>
      <c r="H21" s="349"/>
      <c r="I21" s="349"/>
      <c r="J21" s="349"/>
      <c r="K21" s="349"/>
      <c r="L21" s="349"/>
      <c r="M21" s="349"/>
      <c r="N21" s="349"/>
      <c r="O21" s="349"/>
      <c r="P21" s="349"/>
      <c r="Q21" s="349"/>
      <c r="R21" s="349"/>
      <c r="S21" s="348"/>
      <c r="T21" s="350"/>
      <c r="U21" s="350"/>
      <c r="V21" s="350"/>
      <c r="W21" s="350"/>
      <c r="X21" s="350"/>
      <c r="Y21" s="350"/>
    </row>
    <row r="22" spans="1:25">
      <c r="A22" s="345" t="s">
        <v>441</v>
      </c>
      <c r="B22" s="349">
        <v>6493.4859999999999</v>
      </c>
      <c r="C22" s="349">
        <f>B22*(1+Input_CMS_2!I71/100)*(1+Input_CMS_2!I72/100)*(1+Input_CMS_2!I73/100)</f>
        <v>7283.1915596294393</v>
      </c>
      <c r="D22" s="349">
        <f>C22*(1+Input_CMS_2!I74/100)*(1+Input_CMS_2!I75/100)*(1+Input_CMS_2!I76/100)*(1+Input_CMS_2!I77/100)*(1+Input_CMS_2!I78/100)*(1+Input_CMS_2!I79/100)*(1+AVERAGE(Input_CMS_2!I77:I79)/100)*(1+AVERAGE(Input_CMS_2!I77:I79)/100)*(1+AVERAGE(Input_CMS_2!I77:I79)/100)</f>
        <v>10557.170270774495</v>
      </c>
      <c r="E22" s="349"/>
      <c r="F22" s="349"/>
      <c r="G22" s="349"/>
      <c r="H22" s="349"/>
      <c r="I22" s="349"/>
      <c r="J22" s="349"/>
      <c r="K22" s="349"/>
      <c r="L22" s="349"/>
      <c r="M22" s="349"/>
      <c r="N22" s="349"/>
      <c r="O22" s="349"/>
      <c r="P22" s="349"/>
      <c r="Q22" s="349"/>
      <c r="R22" s="349"/>
      <c r="S22" s="348"/>
      <c r="T22" s="350"/>
      <c r="U22" s="350"/>
      <c r="V22" s="350"/>
      <c r="W22" s="350"/>
      <c r="X22" s="350"/>
      <c r="Y22" s="350"/>
    </row>
    <row r="23" spans="1:25" s="7" customFormat="1">
      <c r="A23" s="359" t="s">
        <v>520</v>
      </c>
      <c r="B23" s="360"/>
      <c r="C23" s="360"/>
      <c r="D23" s="360"/>
      <c r="E23" s="360"/>
      <c r="F23" s="360"/>
      <c r="G23" s="358"/>
      <c r="H23" s="358"/>
      <c r="I23" s="358">
        <f>C34</f>
        <v>19789.47744749163</v>
      </c>
      <c r="J23" s="358">
        <f>D34</f>
        <v>31291.226207511787</v>
      </c>
      <c r="K23" s="360"/>
      <c r="L23" s="360"/>
      <c r="M23" s="360"/>
      <c r="N23" s="360"/>
      <c r="O23" s="360"/>
      <c r="P23" s="360"/>
      <c r="Q23" s="358">
        <f>C34</f>
        <v>19789.47744749163</v>
      </c>
      <c r="R23" s="358">
        <f>D34</f>
        <v>31291.226207511787</v>
      </c>
      <c r="S23" s="373"/>
      <c r="T23" s="374"/>
      <c r="U23" s="374"/>
      <c r="V23" s="374"/>
      <c r="W23" s="374"/>
      <c r="X23" s="374"/>
      <c r="Y23" s="374"/>
    </row>
    <row r="24" spans="1:25" s="7" customFormat="1">
      <c r="A24" s="359" t="s">
        <v>450</v>
      </c>
      <c r="B24" s="360"/>
      <c r="C24" s="360">
        <f>C7-C8-C13-C16</f>
        <v>45271.066488838027</v>
      </c>
      <c r="D24" s="360">
        <f>D7-D8-D13-D16</f>
        <v>61483.109598498035</v>
      </c>
      <c r="E24" s="360">
        <f>$C24</f>
        <v>45271.066488838027</v>
      </c>
      <c r="F24" s="360">
        <f>$D24</f>
        <v>61483.109598498035</v>
      </c>
      <c r="G24" s="358">
        <f>E24</f>
        <v>45271.066488838027</v>
      </c>
      <c r="H24" s="358">
        <f>F24</f>
        <v>61483.109598498035</v>
      </c>
      <c r="I24" s="358">
        <f>$C24</f>
        <v>45271.066488838027</v>
      </c>
      <c r="J24" s="358">
        <f>$D24</f>
        <v>61483.109598498035</v>
      </c>
      <c r="K24" s="360">
        <f>$C24</f>
        <v>45271.066488838027</v>
      </c>
      <c r="L24" s="360">
        <f>$D24</f>
        <v>61483.109598498035</v>
      </c>
      <c r="M24" s="360">
        <f>K24</f>
        <v>45271.066488838027</v>
      </c>
      <c r="N24" s="360">
        <f>L24</f>
        <v>61483.109598498035</v>
      </c>
      <c r="O24" s="360">
        <f>$C24</f>
        <v>45271.066488838027</v>
      </c>
      <c r="P24" s="360">
        <f>$D24</f>
        <v>61483.109598498035</v>
      </c>
      <c r="Q24" s="360">
        <f>$C24</f>
        <v>45271.066488838027</v>
      </c>
      <c r="R24" s="360">
        <f>$D24</f>
        <v>61483.109598498035</v>
      </c>
      <c r="S24" s="366">
        <f>D24*$C$27/$C$28</f>
        <v>48804.149375568784</v>
      </c>
      <c r="T24" s="366">
        <f>F24*$C$27/$C$28</f>
        <v>48804.149375568784</v>
      </c>
      <c r="U24" s="366">
        <f>J24*$C$27/$C$28</f>
        <v>48804.149375568784</v>
      </c>
      <c r="V24" s="366">
        <f>L24*$C$27/$C$28</f>
        <v>48804.149375568784</v>
      </c>
      <c r="W24" s="366">
        <f>P24*$C$27/$C$28</f>
        <v>48804.149375568784</v>
      </c>
      <c r="X24" s="366">
        <f>H24*$C$27/$C$28</f>
        <v>48804.149375568784</v>
      </c>
      <c r="Y24" s="366">
        <f>N24*$C$27/$C$28</f>
        <v>48804.149375568784</v>
      </c>
    </row>
    <row r="26" spans="1:25">
      <c r="A26" s="369" t="s">
        <v>511</v>
      </c>
    </row>
    <row r="27" spans="1:25">
      <c r="A27" t="s">
        <v>473</v>
      </c>
      <c r="C27" s="365">
        <f>Input_CMS_6!L14</f>
        <v>276.39999999999998</v>
      </c>
      <c r="D27" s="367"/>
    </row>
    <row r="28" spans="1:25">
      <c r="A28" t="s">
        <v>474</v>
      </c>
      <c r="C28" s="365">
        <f>Input_CMS_6!R14*(1+AVERAGE(Input_CMS_6!P28:R28)/100)*(1+AVERAGE(Input_CMS_6!P28:R28)/100)*(1+AVERAGE(Input_CMS_6!P28:R28)/100)</f>
        <v>348.2066937024</v>
      </c>
      <c r="D28" s="274"/>
    </row>
    <row r="29" spans="1:25">
      <c r="C29" s="365"/>
      <c r="D29" s="274"/>
    </row>
    <row r="30" spans="1:25">
      <c r="A30" s="313" t="s">
        <v>512</v>
      </c>
    </row>
    <row r="31" spans="1:25">
      <c r="A31" t="s">
        <v>486</v>
      </c>
      <c r="C31">
        <v>2022</v>
      </c>
      <c r="D31">
        <v>2031</v>
      </c>
    </row>
    <row r="32" spans="1:25">
      <c r="A32" t="s">
        <v>485</v>
      </c>
      <c r="C32" s="13">
        <f>SUM(UF_Calculations_1!B37:B46)</f>
        <v>421052.71164875769</v>
      </c>
      <c r="D32" s="13">
        <f>SUM(UF_Calculations_1!K37:K46)</f>
        <v>665770.77037259063</v>
      </c>
      <c r="J32" s="88"/>
      <c r="K32" s="88"/>
      <c r="L32" s="88"/>
      <c r="M32" s="88"/>
      <c r="N32" s="88"/>
    </row>
    <row r="33" spans="1:5">
      <c r="A33" t="s">
        <v>487</v>
      </c>
      <c r="B33" s="56">
        <f>1-0.953</f>
        <v>4.7000000000000042E-2</v>
      </c>
    </row>
    <row r="34" spans="1:5">
      <c r="A34" t="s">
        <v>488</v>
      </c>
      <c r="B34" s="275"/>
      <c r="C34" s="13">
        <f>C32*B33</f>
        <v>19789.47744749163</v>
      </c>
      <c r="D34" s="13">
        <f>D32*B33</f>
        <v>31291.226207511787</v>
      </c>
    </row>
    <row r="36" spans="1:5" ht="29">
      <c r="D36" s="222" t="s">
        <v>497</v>
      </c>
      <c r="E36" s="222" t="s">
        <v>496</v>
      </c>
    </row>
    <row r="37" spans="1:5">
      <c r="A37" t="s">
        <v>1052</v>
      </c>
      <c r="D37" s="88">
        <f>(J16-UF_Calculations_7!D34)</f>
        <v>188497.90975401137</v>
      </c>
      <c r="E37" s="88">
        <f>(J16-UF_Calculations_7!D34)*C27/C28</f>
        <v>149626.13642498635</v>
      </c>
    </row>
    <row r="38" spans="1:5">
      <c r="A38" s="264"/>
    </row>
    <row r="39" spans="1:5">
      <c r="A39" s="313" t="s">
        <v>517</v>
      </c>
    </row>
    <row r="40" spans="1:5">
      <c r="A40" t="s">
        <v>495</v>
      </c>
    </row>
    <row r="41" spans="1:5">
      <c r="B41" t="s">
        <v>313</v>
      </c>
      <c r="C41" t="s">
        <v>493</v>
      </c>
      <c r="D41" t="s">
        <v>494</v>
      </c>
    </row>
    <row r="42" spans="1:5">
      <c r="A42" t="s">
        <v>443</v>
      </c>
      <c r="B42" s="269">
        <f>-(1-(UF_Calculations_7!D9/UF_Calculations_7!C9)^(1/9))</f>
        <v>7.6776975661514424E-2</v>
      </c>
      <c r="C42" s="269">
        <f>B42-0.005</f>
        <v>7.1776975661514419E-2</v>
      </c>
      <c r="D42" s="269">
        <f>B42-0.013</f>
        <v>6.3776975661514426E-2</v>
      </c>
    </row>
    <row r="43" spans="1:5">
      <c r="A43" t="s">
        <v>444</v>
      </c>
      <c r="B43" s="269">
        <f>-(1-(UF_Calculations_7!D10/UF_Calculations_7!C10)^(1/9))</f>
        <v>5.9102396764389997E-2</v>
      </c>
      <c r="C43" s="269">
        <f>B43-0.005</f>
        <v>5.410239676439E-2</v>
      </c>
      <c r="D43" s="269">
        <f>B43-0.013</f>
        <v>4.610239676439E-2</v>
      </c>
    </row>
    <row r="44" spans="1:5">
      <c r="A44" t="s">
        <v>445</v>
      </c>
      <c r="B44" s="269">
        <f>-(1-(UF_Calculations_7!D11/UF_Calculations_7!C11)^(1/9))</f>
        <v>7.122196860283192E-2</v>
      </c>
      <c r="C44" s="269">
        <f>B44-0.005</f>
        <v>6.6221968602831915E-2</v>
      </c>
      <c r="D44" s="269">
        <f>B44-0.013</f>
        <v>5.8221968602831922E-2</v>
      </c>
    </row>
    <row r="45" spans="1:5">
      <c r="A45" t="s">
        <v>446</v>
      </c>
      <c r="B45" s="269">
        <f>-(1-(UF_Calculations_7!D12/UF_Calculations_7!C12)^(1/9))</f>
        <v>4.9740696300075271E-2</v>
      </c>
      <c r="C45" s="269">
        <f>B45-0.005</f>
        <v>4.4740696300075274E-2</v>
      </c>
      <c r="D45" s="269">
        <f>B45-0.013</f>
        <v>3.6740696300075273E-2</v>
      </c>
    </row>
    <row r="46" spans="1:5">
      <c r="A46" s="7"/>
    </row>
    <row r="47" spans="1:5">
      <c r="A47" s="313" t="s">
        <v>518</v>
      </c>
    </row>
    <row r="48" spans="1:5">
      <c r="A48" t="s">
        <v>492</v>
      </c>
    </row>
    <row r="49" spans="1:5" ht="58">
      <c r="B49" s="222" t="s">
        <v>515</v>
      </c>
      <c r="C49" s="222" t="s">
        <v>519</v>
      </c>
    </row>
    <row r="50" spans="1:5">
      <c r="A50" t="s">
        <v>490</v>
      </c>
      <c r="B50" s="13">
        <f>UF_Calculations_7!F16</f>
        <v>281017.07474752521</v>
      </c>
      <c r="C50" s="13">
        <f>UF_Calculations_7!H16</f>
        <v>296439.25881520857</v>
      </c>
    </row>
    <row r="51" spans="1:5">
      <c r="A51" t="s">
        <v>491</v>
      </c>
      <c r="B51" s="13">
        <f>UF_Calculations_7!L16</f>
        <v>243568.62677979813</v>
      </c>
      <c r="C51" s="13">
        <f>UF_Calculations_7!N16</f>
        <v>282491.01180332882</v>
      </c>
    </row>
    <row r="53" spans="1:5">
      <c r="A53" t="s">
        <v>1050</v>
      </c>
    </row>
    <row r="54" spans="1:5" ht="29">
      <c r="B54" s="222" t="s">
        <v>500</v>
      </c>
      <c r="C54" s="222" t="s">
        <v>528</v>
      </c>
      <c r="D54" s="222"/>
      <c r="E54" s="222"/>
    </row>
    <row r="55" spans="1:5">
      <c r="A55" t="s">
        <v>1051</v>
      </c>
      <c r="B55" s="13">
        <f>E16*B57</f>
        <v>304722.8264298673</v>
      </c>
      <c r="C55" s="13">
        <f>B55*C27/C28</f>
        <v>241883.3145614363</v>
      </c>
      <c r="D55" s="88"/>
    </row>
    <row r="57" spans="1:5">
      <c r="A57" t="s">
        <v>527</v>
      </c>
      <c r="B57" s="269">
        <f>(Input_CMS_6!R8*(1+AVERAGE(Input_CMS_6!P23:R23)/100)*(1+AVERAGE(Input_CMS_6!P23:R23)/100)*(1+AVERAGE(Input_CMS_6!P23:R23)/100))/Input_CMS_6!L8</f>
        <v>1.4747575645327977</v>
      </c>
    </row>
  </sheetData>
  <phoneticPr fontId="132" type="noConversion"/>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0E1B-8A6B-4EF6-9A5E-41C84F153005}">
  <dimension ref="A1:M157"/>
  <sheetViews>
    <sheetView workbookViewId="0">
      <selection activeCell="D7" sqref="D7"/>
    </sheetView>
  </sheetViews>
  <sheetFormatPr defaultRowHeight="14.5"/>
  <cols>
    <col min="1" max="1" width="70.453125" bestFit="1" customWidth="1"/>
    <col min="2" max="11" width="12.54296875" bestFit="1" customWidth="1"/>
    <col min="12" max="13" width="10" bestFit="1" customWidth="1"/>
  </cols>
  <sheetData>
    <row r="1" spans="1:13">
      <c r="A1" s="7" t="s">
        <v>1039</v>
      </c>
    </row>
    <row r="2" spans="1:13">
      <c r="A2" s="313" t="s">
        <v>500</v>
      </c>
      <c r="B2">
        <v>2022</v>
      </c>
      <c r="C2">
        <v>2023</v>
      </c>
      <c r="D2">
        <v>2024</v>
      </c>
      <c r="E2">
        <v>2025</v>
      </c>
      <c r="F2">
        <v>2026</v>
      </c>
      <c r="G2">
        <v>2027</v>
      </c>
      <c r="H2">
        <v>2028</v>
      </c>
      <c r="I2">
        <v>2029</v>
      </c>
      <c r="J2">
        <v>2030</v>
      </c>
      <c r="K2">
        <v>2031</v>
      </c>
      <c r="L2" t="s">
        <v>506</v>
      </c>
    </row>
    <row r="3" spans="1:13">
      <c r="A3" s="383" t="s">
        <v>313</v>
      </c>
      <c r="B3" s="13">
        <f>Baseline!J37</f>
        <v>517006.26873315335</v>
      </c>
      <c r="C3" s="13">
        <f>Baseline!K37</f>
        <v>546090.46152034856</v>
      </c>
      <c r="D3" s="13">
        <f>Baseline!L37</f>
        <v>576298.04936017643</v>
      </c>
      <c r="E3" s="13">
        <f>Baseline!M37</f>
        <v>609310.48979357863</v>
      </c>
      <c r="F3" s="13">
        <f>Baseline!N37</f>
        <v>644714.88226706709</v>
      </c>
      <c r="G3" s="13">
        <f>Baseline!O37</f>
        <v>681412.22519367852</v>
      </c>
      <c r="H3" s="13">
        <f>Baseline!P37</f>
        <v>719977.67431626492</v>
      </c>
      <c r="I3" s="13">
        <f>Baseline!Q37</f>
        <v>761045.12888869026</v>
      </c>
      <c r="J3" s="13">
        <f>Baseline!R37</f>
        <v>804479.87848585239</v>
      </c>
      <c r="K3" s="13">
        <f>Baseline!S37</f>
        <v>850419.6679931503</v>
      </c>
    </row>
    <row r="4" spans="1:13">
      <c r="A4" t="s">
        <v>434</v>
      </c>
      <c r="B4" s="13">
        <f t="shared" ref="B4:K4" si="0">SUM(B5:B8)</f>
        <v>204386.45917530498</v>
      </c>
      <c r="C4" s="13">
        <f t="shared" si="0"/>
        <v>218589.36277920858</v>
      </c>
      <c r="D4" s="13">
        <f t="shared" si="0"/>
        <v>233325.93611667131</v>
      </c>
      <c r="E4" s="13">
        <f t="shared" si="0"/>
        <v>249564.74354349767</v>
      </c>
      <c r="F4" s="13">
        <f t="shared" si="0"/>
        <v>267332.388603753</v>
      </c>
      <c r="G4" s="13">
        <f t="shared" si="0"/>
        <v>285702.79343268095</v>
      </c>
      <c r="H4" s="13">
        <f t="shared" si="0"/>
        <v>305210.06362192152</v>
      </c>
      <c r="I4" s="13">
        <f t="shared" si="0"/>
        <v>326432.07014530769</v>
      </c>
      <c r="J4" s="13">
        <f t="shared" si="0"/>
        <v>349150.18398472015</v>
      </c>
      <c r="K4" s="13">
        <f t="shared" si="0"/>
        <v>373471.15490877291</v>
      </c>
      <c r="L4" s="13"/>
    </row>
    <row r="5" spans="1:13">
      <c r="A5" t="s">
        <v>443</v>
      </c>
      <c r="B5" s="13">
        <f>Baseline!J39</f>
        <v>111240.80815570621</v>
      </c>
      <c r="C5" s="13">
        <f>Baseline!K39</f>
        <v>120028.83200000699</v>
      </c>
      <c r="D5" s="13">
        <f>Baseline!L39</f>
        <v>129511.10972800755</v>
      </c>
      <c r="E5" s="13">
        <f>Baseline!M39</f>
        <v>139483.46517706412</v>
      </c>
      <c r="F5" s="13">
        <f>Baseline!N39</f>
        <v>149944.72506534393</v>
      </c>
      <c r="G5" s="13">
        <f>Baseline!O39</f>
        <v>161490.46889537541</v>
      </c>
      <c r="H5" s="13">
        <f>Baseline!P39</f>
        <v>173763.74453142396</v>
      </c>
      <c r="I5" s="13">
        <f>Baseline!Q39</f>
        <v>186969.78911581219</v>
      </c>
      <c r="J5" s="13">
        <f>Baseline!R39</f>
        <v>201179.49308861393</v>
      </c>
      <c r="K5" s="13">
        <f>Baseline!S39</f>
        <v>216469.13456334861</v>
      </c>
      <c r="L5" s="269"/>
      <c r="M5" s="269"/>
    </row>
    <row r="6" spans="1:13">
      <c r="A6" t="s">
        <v>444</v>
      </c>
      <c r="B6" s="13">
        <f>Baseline!J41*'Input_Medi-Cal'!$L$5</f>
        <v>71475.601231843742</v>
      </c>
      <c r="C6" s="13">
        <f>Baseline!K41*'Input_Medi-Cal'!$L$5</f>
        <v>75549.710502058835</v>
      </c>
      <c r="D6" s="13">
        <f>Baseline!L41*'Input_Medi-Cal'!$L$5</f>
        <v>79402.745737663834</v>
      </c>
      <c r="E6" s="13">
        <f>Baseline!M41*'Input_Medi-Cal'!$L$5</f>
        <v>84166.910481923667</v>
      </c>
      <c r="F6" s="13">
        <f>Baseline!N41*'Input_Medi-Cal'!$L$5</f>
        <v>89890.260394694473</v>
      </c>
      <c r="G6" s="13">
        <f>Baseline!O41*'Input_Medi-Cal'!$L$5</f>
        <v>95014.005237192046</v>
      </c>
      <c r="H6" s="13">
        <f>Baseline!P41*'Input_Medi-Cal'!$L$5</f>
        <v>100429.803535712</v>
      </c>
      <c r="I6" s="13">
        <f>Baseline!Q41*'Input_Medi-Cal'!$L$5</f>
        <v>106522.54495021186</v>
      </c>
      <c r="J6" s="13">
        <f>Baseline!R41*'Input_Medi-Cal'!$L$5</f>
        <v>112984.91267719137</v>
      </c>
      <c r="K6" s="13">
        <f>Baseline!S41*'Input_Medi-Cal'!$L$5</f>
        <v>119839.33071294098</v>
      </c>
      <c r="L6" s="269"/>
      <c r="M6" s="269"/>
    </row>
    <row r="7" spans="1:13" s="6" customFormat="1">
      <c r="A7" s="6" t="s">
        <v>445</v>
      </c>
      <c r="B7" s="17">
        <v>11694</v>
      </c>
      <c r="C7" s="17">
        <f>B7*(1+Input_CMS_5!M35/100)</f>
        <v>12535.968000000001</v>
      </c>
      <c r="D7" s="17">
        <f>C7*(1+Input_CMS_5!N35/100)</f>
        <v>13413.485760000001</v>
      </c>
      <c r="E7" s="17">
        <f>D7*(1+Input_CMS_5!O35/100)</f>
        <v>14365.84324896</v>
      </c>
      <c r="F7" s="17">
        <f>E7*(1+Input_CMS_5!P35/100)</f>
        <v>15371.452276387201</v>
      </c>
      <c r="G7" s="17">
        <f>F7*(1+Input_CMS_5!Q35/100)</f>
        <v>16478.196840287081</v>
      </c>
      <c r="H7" s="17">
        <f>G7*(1+Input_CMS_5!R35/100)</f>
        <v>17664.627012787751</v>
      </c>
      <c r="I7" s="17">
        <f>H7*(1+AVERAGE(Input_CMS_5!$P$35:$R$35)/100)</f>
        <v>18924.70373969994</v>
      </c>
      <c r="J7" s="17">
        <f>I7*(1+AVERAGE(Input_CMS_5!$P$35:$R$35)/100)</f>
        <v>20274.665939798535</v>
      </c>
      <c r="K7" s="17">
        <f>J7*(1+AVERAGE(Input_CMS_5!$P$35:$R$35)/100)</f>
        <v>21720.925443504162</v>
      </c>
      <c r="L7" s="269"/>
      <c r="M7" s="269"/>
    </row>
    <row r="8" spans="1:13" s="6" customFormat="1">
      <c r="A8" s="6" t="s">
        <v>446</v>
      </c>
      <c r="B8" s="17">
        <f>Baseline!J43</f>
        <v>9976.0497877549988</v>
      </c>
      <c r="C8" s="17">
        <f>Baseline!K43</f>
        <v>10474.852277142749</v>
      </c>
      <c r="D8" s="17">
        <f>Baseline!L43</f>
        <v>10998.594890999886</v>
      </c>
      <c r="E8" s="17">
        <f>Baseline!M43</f>
        <v>11548.52463554988</v>
      </c>
      <c r="F8" s="17">
        <f>Baseline!N43</f>
        <v>12125.950867327374</v>
      </c>
      <c r="G8" s="17">
        <f>Baseline!O43</f>
        <v>12720.122459826414</v>
      </c>
      <c r="H8" s="17">
        <f>Baseline!P43</f>
        <v>13351.888541997794</v>
      </c>
      <c r="I8" s="17">
        <f>Baseline!Q43</f>
        <v>14015.032339583686</v>
      </c>
      <c r="J8" s="17">
        <f>Baseline!R43</f>
        <v>14711.112279116343</v>
      </c>
      <c r="K8" s="17">
        <f>Baseline!S43</f>
        <v>15441.764188979123</v>
      </c>
      <c r="L8" s="269"/>
      <c r="M8" s="269"/>
    </row>
    <row r="9" spans="1:13" s="6" customFormat="1">
      <c r="A9" s="6" t="s">
        <v>435</v>
      </c>
      <c r="B9" s="17">
        <f>SUM(B10:B11)</f>
        <v>44873.047061021512</v>
      </c>
      <c r="C9" s="17">
        <f t="shared" ref="C9:K9" si="1">SUM(C10:C11)</f>
        <v>47514.156038499728</v>
      </c>
      <c r="D9" s="17">
        <f t="shared" si="1"/>
        <v>50050.549794367209</v>
      </c>
      <c r="E9" s="17">
        <f t="shared" si="1"/>
        <v>53123.689732625557</v>
      </c>
      <c r="F9" s="17">
        <f t="shared" si="1"/>
        <v>56749.752369732953</v>
      </c>
      <c r="G9" s="17">
        <f t="shared" si="1"/>
        <v>60094.043430500737</v>
      </c>
      <c r="H9" s="17">
        <f t="shared" si="1"/>
        <v>63636.847054382153</v>
      </c>
      <c r="I9" s="17">
        <f t="shared" si="1"/>
        <v>67587.010659253661</v>
      </c>
      <c r="J9" s="17">
        <f t="shared" si="1"/>
        <v>71783.203868959972</v>
      </c>
      <c r="K9" s="17">
        <f t="shared" si="1"/>
        <v>76240.808038885676</v>
      </c>
      <c r="L9" s="17"/>
    </row>
    <row r="10" spans="1:13" s="6" customFormat="1">
      <c r="A10" s="6" t="s">
        <v>444</v>
      </c>
      <c r="B10" s="17">
        <f>Baseline!J41-B6</f>
        <v>39316.69406102151</v>
      </c>
      <c r="C10" s="17">
        <f>Baseline!K41-C6</f>
        <v>41557.74562249973</v>
      </c>
      <c r="D10" s="17">
        <f>Baseline!L41-D6</f>
        <v>43677.190649247204</v>
      </c>
      <c r="E10" s="17">
        <f>Baseline!M41-E6</f>
        <v>46297.82208820204</v>
      </c>
      <c r="F10" s="17">
        <f>Baseline!N41-F6</f>
        <v>49446.073990199788</v>
      </c>
      <c r="G10" s="17">
        <f>Baseline!O41-G6</f>
        <v>52264.500207641177</v>
      </c>
      <c r="H10" s="17">
        <f>Baseline!P41-H6</f>
        <v>55243.57671947671</v>
      </c>
      <c r="I10" s="17">
        <f>Baseline!Q41-I6</f>
        <v>58595.020373791631</v>
      </c>
      <c r="J10" s="17">
        <f>Baseline!R41-J6</f>
        <v>62149.78494313499</v>
      </c>
      <c r="K10" s="17">
        <f>Baseline!S41-K6</f>
        <v>65920.205229685176</v>
      </c>
    </row>
    <row r="11" spans="1:13" s="6" customFormat="1">
      <c r="A11" s="6" t="s">
        <v>445</v>
      </c>
      <c r="B11" s="17">
        <f>5556353/1000</f>
        <v>5556.3530000000001</v>
      </c>
      <c r="C11" s="17">
        <f>B11*(1+Input_CMS_5!M35/100)</f>
        <v>5956.4104160000006</v>
      </c>
      <c r="D11" s="17">
        <f>C11*(1+Input_CMS_5!N35/100)</f>
        <v>6373.3591451200009</v>
      </c>
      <c r="E11" s="17">
        <f>D11*(1+Input_CMS_5!O35/100)</f>
        <v>6825.8676444235207</v>
      </c>
      <c r="F11" s="17">
        <f>E11*(1+Input_CMS_5!P35/100)</f>
        <v>7303.6783795331676</v>
      </c>
      <c r="G11" s="17">
        <f>F11*(1+Input_CMS_5!Q35/100)</f>
        <v>7829.5432228595564</v>
      </c>
      <c r="H11" s="17">
        <f>G11*(1+Input_CMS_5!R35/100)</f>
        <v>8393.2703349054445</v>
      </c>
      <c r="I11" s="17">
        <f>H11*(1+AVERAGE(Input_CMS_5!$P$35:$R$35)/100)</f>
        <v>8991.9902854620323</v>
      </c>
      <c r="J11" s="17">
        <f>I11*(1+AVERAGE(Input_CMS_5!$P$35:$R$35)/100)</f>
        <v>9633.4189258249899</v>
      </c>
      <c r="K11" s="17">
        <f>J11*(1+AVERAGE(Input_CMS_5!$P$35:$R$35)/100)</f>
        <v>10320.602809200505</v>
      </c>
    </row>
    <row r="12" spans="1:13">
      <c r="A12" t="s">
        <v>436</v>
      </c>
      <c r="B12" s="13">
        <f>B13+B14+B15</f>
        <v>222475.05800798882</v>
      </c>
      <c r="C12" s="13">
        <f t="shared" ref="C12:K12" si="2">C13+C14+C15</f>
        <v>233176.79935683167</v>
      </c>
      <c r="D12" s="13">
        <f t="shared" si="2"/>
        <v>244403.19417626137</v>
      </c>
      <c r="E12" s="13">
        <f t="shared" si="2"/>
        <v>256116.97743106377</v>
      </c>
      <c r="F12" s="13">
        <f t="shared" si="2"/>
        <v>268461.13757067267</v>
      </c>
      <c r="G12" s="13">
        <f t="shared" si="2"/>
        <v>281406.19302647107</v>
      </c>
      <c r="H12" s="13">
        <f t="shared" si="2"/>
        <v>294747.22331540933</v>
      </c>
      <c r="I12" s="13">
        <f t="shared" si="2"/>
        <v>308881.3405125612</v>
      </c>
      <c r="J12" s="13">
        <f t="shared" si="2"/>
        <v>323695.78299289051</v>
      </c>
      <c r="K12" s="13">
        <f t="shared" si="2"/>
        <v>339223.4103990689</v>
      </c>
      <c r="L12" s="13"/>
    </row>
    <row r="13" spans="1:13">
      <c r="A13" t="s">
        <v>521</v>
      </c>
      <c r="B13" s="13">
        <f>Baseline!J42-Baseline!J43</f>
        <v>164268.60537408179</v>
      </c>
      <c r="C13" s="13">
        <f>Baseline!K42-Baseline!K43</f>
        <v>172482.03564278589</v>
      </c>
      <c r="D13" s="13">
        <f>Baseline!L42-Baseline!L43</f>
        <v>181106.1374249252</v>
      </c>
      <c r="E13" s="13">
        <f>Baseline!M42-Baseline!M43</f>
        <v>190161.44429617148</v>
      </c>
      <c r="F13" s="13">
        <f>Baseline!N42-Baseline!N43</f>
        <v>199669.51651098006</v>
      </c>
      <c r="G13" s="13">
        <f>Baseline!O42-Baseline!O43</f>
        <v>209665.11828739638</v>
      </c>
      <c r="H13" s="13">
        <f>Baseline!P42-Baseline!P43</f>
        <v>219930.22900183892</v>
      </c>
      <c r="I13" s="13">
        <f>Baseline!Q42-Baseline!Q43</f>
        <v>230853.43037559694</v>
      </c>
      <c r="J13" s="13">
        <f>Baseline!R42-Baseline!R43</f>
        <v>242319.15075091826</v>
      </c>
      <c r="K13" s="13">
        <f>Baseline!S42-Baseline!S43</f>
        <v>254354.33523821388</v>
      </c>
    </row>
    <row r="14" spans="1:13">
      <c r="A14" t="s">
        <v>449</v>
      </c>
      <c r="B14" s="13">
        <f>(Input_CMS_2!$C$16/Input_CMS_2!$B$16)*B3</f>
        <v>50923.261074277601</v>
      </c>
      <c r="C14" s="13">
        <f>B14*(1+Input_CMS_2!$C$74/100)</f>
        <v>53112.961300471536</v>
      </c>
      <c r="D14" s="13">
        <f>C14*(1+Input_CMS_2!$C$75/100)</f>
        <v>55396.818636391807</v>
      </c>
      <c r="E14" s="13">
        <f>D14*(1+Input_CMS_2!$C$76/100)</f>
        <v>57723.485019120264</v>
      </c>
      <c r="F14" s="13">
        <f>E14*(1+Input_CMS_2!$C$77/100)</f>
        <v>60205.594874942428</v>
      </c>
      <c r="G14" s="13">
        <f>F14*(1+Input_CMS_2!$C$78/100)</f>
        <v>62794.435454564948</v>
      </c>
      <c r="H14" s="13">
        <f>G14*(1+Input_CMS_2!$C$79/100)</f>
        <v>65494.596179111235</v>
      </c>
      <c r="I14" s="13">
        <f>H14*(1+AVERAGE(Input_CMS_2!$C$77:$C$79)/100)</f>
        <v>68310.863814813012</v>
      </c>
      <c r="J14" s="13">
        <f>I14*(1+AVERAGE(Input_CMS_2!$C$77:$C$79)/100)</f>
        <v>71248.230958849963</v>
      </c>
      <c r="K14" s="13">
        <f>J14*(1+AVERAGE(Input_CMS_2!$C$77:$C$79)/100)</f>
        <v>74311.904890080506</v>
      </c>
    </row>
    <row r="15" spans="1:13">
      <c r="A15" t="s">
        <v>441</v>
      </c>
      <c r="B15" s="13">
        <f>6493.486*(1+Input_CMS_2!I71/100)*(1+Input_CMS_2!I72/100)*(1+Input_CMS_2!I73/100)</f>
        <v>7283.1915596294393</v>
      </c>
      <c r="C15" s="13">
        <f>B15*(1+Input_CMS_2!$I$74/100)</f>
        <v>7581.8024135742462</v>
      </c>
      <c r="D15" s="13">
        <f>C15*(1+Input_CMS_2!$I$75/100)</f>
        <v>7900.2381149443645</v>
      </c>
      <c r="E15" s="13">
        <f>D15*(1+Input_CMS_2!$I$76/100)</f>
        <v>8232.0481157720278</v>
      </c>
      <c r="F15" s="13">
        <f>E15*(1+Input_CMS_2!$I$77/100)</f>
        <v>8586.0261847502243</v>
      </c>
      <c r="G15" s="13">
        <f>F15*(1+Input_CMS_2!$I$78/100)</f>
        <v>8946.6392845097344</v>
      </c>
      <c r="H15" s="13">
        <f>G15*(1+Input_CMS_2!$I$79/100)</f>
        <v>9322.398134459143</v>
      </c>
      <c r="I15" s="13">
        <f>H15*(1+AVERAGE(Input_CMS_2!$I$77:$I$79)/100)</f>
        <v>9717.0463221512473</v>
      </c>
      <c r="J15" s="13">
        <f>I15*(1+AVERAGE(Input_CMS_2!$I$77:$I$79)/100)</f>
        <v>10128.401283122317</v>
      </c>
      <c r="K15" s="13">
        <f>J15*(1+AVERAGE(Input_CMS_2!$I$77:$I$79)/100)</f>
        <v>10557.170270774495</v>
      </c>
    </row>
    <row r="16" spans="1:13">
      <c r="A16" t="s">
        <v>450</v>
      </c>
      <c r="B16" s="13">
        <f>B3-B4-B9-B12</f>
        <v>45271.704488838062</v>
      </c>
      <c r="C16" s="13">
        <f t="shared" ref="C16:K16" si="3">C3-C4-C9-C12</f>
        <v>46810.143345808581</v>
      </c>
      <c r="D16" s="13">
        <f t="shared" si="3"/>
        <v>48518.369272876531</v>
      </c>
      <c r="E16" s="13">
        <f t="shared" si="3"/>
        <v>50505.079086391663</v>
      </c>
      <c r="F16" s="13">
        <f t="shared" si="3"/>
        <v>52171.603722908476</v>
      </c>
      <c r="G16" s="13">
        <f t="shared" si="3"/>
        <v>54209.195304025779</v>
      </c>
      <c r="H16" s="13">
        <f t="shared" si="3"/>
        <v>56383.540324551926</v>
      </c>
      <c r="I16" s="13">
        <f t="shared" si="3"/>
        <v>58144.707571567676</v>
      </c>
      <c r="J16" s="13">
        <f t="shared" si="3"/>
        <v>59850.707639281754</v>
      </c>
      <c r="K16" s="13">
        <f t="shared" si="3"/>
        <v>61484.294646422786</v>
      </c>
      <c r="L16" s="13"/>
    </row>
    <row r="17" spans="1:13">
      <c r="A17" s="383" t="s">
        <v>501</v>
      </c>
      <c r="B17" s="13"/>
      <c r="C17" s="381"/>
      <c r="D17" s="381"/>
      <c r="E17" s="381"/>
      <c r="F17" s="381"/>
      <c r="G17" s="381"/>
      <c r="H17" s="381"/>
      <c r="I17" s="381"/>
      <c r="J17" s="381"/>
      <c r="K17" s="381"/>
    </row>
    <row r="18" spans="1:13">
      <c r="A18" t="s">
        <v>98</v>
      </c>
      <c r="B18" s="13">
        <f>UF_Calculations_1!B18</f>
        <v>501156.9190844929</v>
      </c>
      <c r="C18" s="13">
        <f>UF_Calculations_1!C18</f>
        <v>526525.53639710892</v>
      </c>
      <c r="D18" s="13">
        <f>UF_Calculations_1!D18</f>
        <v>552813.16746710136</v>
      </c>
      <c r="E18" s="13">
        <f>UF_Calculations_1!E18</f>
        <v>581439.25820025906</v>
      </c>
      <c r="F18" s="13">
        <f>UF_Calculations_1!F18</f>
        <v>611837.26521544147</v>
      </c>
      <c r="G18" s="13">
        <f>UF_Calculations_1!G18</f>
        <v>643233.50940363412</v>
      </c>
      <c r="H18" s="13">
        <f>UF_Calculations_1!H18</f>
        <v>676124.58244779333</v>
      </c>
      <c r="I18" s="13">
        <f>UF_Calculations_1!I18</f>
        <v>711040.54656699835</v>
      </c>
      <c r="J18" s="13">
        <f>UF_Calculations_1!J18</f>
        <v>747784.07735266292</v>
      </c>
      <c r="K18" s="13">
        <f>UF_Calculations_1!K18</f>
        <v>786451.80216822727</v>
      </c>
    </row>
    <row r="19" spans="1:13">
      <c r="A19" t="s">
        <v>535</v>
      </c>
      <c r="B19" s="13">
        <f>SUM(B20:B23)</f>
        <v>204387.09717530498</v>
      </c>
      <c r="C19" s="13">
        <f t="shared" ref="C19:K19" si="4">SUM(C20:C23)</f>
        <v>217459.40465596871</v>
      </c>
      <c r="D19" s="13">
        <f t="shared" si="4"/>
        <v>231385.28593285047</v>
      </c>
      <c r="E19" s="13">
        <f t="shared" si="4"/>
        <v>246221.48539543091</v>
      </c>
      <c r="F19" s="13">
        <f t="shared" si="4"/>
        <v>262028.57729435118</v>
      </c>
      <c r="G19" s="13">
        <f t="shared" si="4"/>
        <v>278871.2274835693</v>
      </c>
      <c r="H19" s="13">
        <f t="shared" si="4"/>
        <v>296818.47323290649</v>
      </c>
      <c r="I19" s="13">
        <f t="shared" si="4"/>
        <v>315944.02236869792</v>
      </c>
      <c r="J19" s="13">
        <f t="shared" si="4"/>
        <v>336326.5730883627</v>
      </c>
      <c r="K19" s="13">
        <f t="shared" si="4"/>
        <v>358050.15588901436</v>
      </c>
    </row>
    <row r="20" spans="1:13">
      <c r="A20" t="s">
        <v>443</v>
      </c>
      <c r="B20" s="13">
        <f>UF_Calculations_7!C9</f>
        <v>111240.80815570621</v>
      </c>
      <c r="C20" s="13">
        <f>$B20*(1+UF_Calculations_7!$C42)^1</f>
        <v>119225.33693526554</v>
      </c>
      <c r="D20" s="13">
        <f>$B20*(1+UF_Calculations_7!$C42)^2</f>
        <v>127782.97104270397</v>
      </c>
      <c r="E20" s="13">
        <f>$B20*(1+UF_Calculations_7!$C42)^3</f>
        <v>136954.84624519214</v>
      </c>
      <c r="F20" s="13">
        <f>$B20*(1+UF_Calculations_7!$C42)^4</f>
        <v>146785.05091085978</v>
      </c>
      <c r="G20" s="13">
        <f>$B20*(1+UF_Calculations_7!$C42)^5</f>
        <v>157320.83793756273</v>
      </c>
      <c r="H20" s="13">
        <f>$B20*(1+UF_Calculations_7!$C42)^6</f>
        <v>168612.85189325621</v>
      </c>
      <c r="I20" s="13">
        <f>$B20*(1+UF_Calculations_7!$C42)^7</f>
        <v>180715.37245981704</v>
      </c>
      <c r="J20" s="13">
        <f>$B20*(1+UF_Calculations_7!$C42)^8</f>
        <v>193686.57535052684</v>
      </c>
      <c r="K20" s="13">
        <f>$B20*(1+UF_Calculations_7!$C42)^9</f>
        <v>207588.81195542371</v>
      </c>
      <c r="L20" s="269"/>
      <c r="M20" s="269"/>
    </row>
    <row r="21" spans="1:13">
      <c r="A21" t="s">
        <v>444</v>
      </c>
      <c r="B21" s="13">
        <f>UF_Calculations_7!C10</f>
        <v>71475.601231843742</v>
      </c>
      <c r="C21" s="13">
        <f>$B21*(1+UF_Calculations_7!$C43)^1</f>
        <v>75342.602568662289</v>
      </c>
      <c r="D21" s="13">
        <f>$B21*(1+UF_Calculations_7!$C43)^2</f>
        <v>79418.817946093812</v>
      </c>
      <c r="E21" s="13">
        <f>$B21*(1+UF_Calculations_7!$C43)^3</f>
        <v>83715.56634517225</v>
      </c>
      <c r="F21" s="13">
        <f>$B21*(1+UF_Calculations_7!$C43)^4</f>
        <v>88244.779130934388</v>
      </c>
      <c r="G21" s="13">
        <f>$B21*(1+UF_Calculations_7!$C43)^5</f>
        <v>93019.033183862179</v>
      </c>
      <c r="H21" s="13">
        <f>$B21*(1+UF_Calculations_7!$C43)^6</f>
        <v>98051.585823815461</v>
      </c>
      <c r="I21" s="13">
        <f>$B21*(1+UF_Calculations_7!$C43)^7</f>
        <v>103356.41162343317</v>
      </c>
      <c r="J21" s="13">
        <f>$B21*(1+UF_Calculations_7!$C43)^8</f>
        <v>108948.2412132278</v>
      </c>
      <c r="K21" s="13">
        <f>$B21*(1+UF_Calculations_7!$C43)^9</f>
        <v>114842.60218612832</v>
      </c>
      <c r="L21" s="269"/>
      <c r="M21" s="269"/>
    </row>
    <row r="22" spans="1:13">
      <c r="A22" s="6" t="s">
        <v>445</v>
      </c>
      <c r="B22" s="13">
        <f>UF_Calculations_7!C11</f>
        <v>11694.638000000001</v>
      </c>
      <c r="C22" s="13">
        <f>$B22*(1+UF_Calculations_7!$C44)^1</f>
        <v>12469.079950457484</v>
      </c>
      <c r="D22" s="13">
        <f>$B22*(1+UF_Calculations_7!$C44)^2</f>
        <v>13294.80697144288</v>
      </c>
      <c r="E22" s="13">
        <f>$B22*(1+UF_Calculations_7!$C44)^3</f>
        <v>14175.215261286479</v>
      </c>
      <c r="F22" s="13">
        <f>$B22*(1+UF_Calculations_7!$C44)^4</f>
        <v>15113.925921257776</v>
      </c>
      <c r="G22" s="13">
        <f>$B22*(1+UF_Calculations_7!$C44)^5</f>
        <v>16114.799849080833</v>
      </c>
      <c r="H22" s="13">
        <f>$B22*(1+UF_Calculations_7!$C44)^6</f>
        <v>17181.953618727584</v>
      </c>
      <c r="I22" s="13">
        <f>$B22*(1+UF_Calculations_7!$C44)^7</f>
        <v>18319.776411802275</v>
      </c>
      <c r="J22" s="13">
        <f>$B22*(1+UF_Calculations_7!$C44)^8</f>
        <v>19532.948070155544</v>
      </c>
      <c r="K22" s="13">
        <f>$B22*(1+UF_Calculations_7!$C44)^9</f>
        <v>20826.458343978131</v>
      </c>
      <c r="L22" s="269"/>
      <c r="M22" s="269"/>
    </row>
    <row r="23" spans="1:13">
      <c r="A23" s="6" t="s">
        <v>446</v>
      </c>
      <c r="B23" s="13">
        <f>UF_Calculations_7!C12</f>
        <v>9976.0497877549988</v>
      </c>
      <c r="C23" s="13">
        <f>$B23*(1+UF_Calculations_7!$C45)^1</f>
        <v>10422.385201583376</v>
      </c>
      <c r="D23" s="13">
        <f>$B23*(1+UF_Calculations_7!$C45)^2</f>
        <v>10888.689972609818</v>
      </c>
      <c r="E23" s="13">
        <f>$B23*(1+UF_Calculations_7!$C45)^3</f>
        <v>11375.85754378003</v>
      </c>
      <c r="F23" s="13">
        <f>$B23*(1+UF_Calculations_7!$C45)^4</f>
        <v>11884.821331299216</v>
      </c>
      <c r="G23" s="13">
        <f>$B23*(1+UF_Calculations_7!$C45)^5</f>
        <v>12416.556513063531</v>
      </c>
      <c r="H23" s="13">
        <f>$B23*(1+UF_Calculations_7!$C45)^6</f>
        <v>12972.081897107228</v>
      </c>
      <c r="I23" s="13">
        <f>$B23*(1+UF_Calculations_7!$C45)^7</f>
        <v>13552.461873645409</v>
      </c>
      <c r="J23" s="13">
        <f>$B23*(1+UF_Calculations_7!$C45)^8</f>
        <v>14158.80845445253</v>
      </c>
      <c r="K23" s="13">
        <f>$B23*(1+UF_Calculations_7!$C45)^9</f>
        <v>14792.283403484131</v>
      </c>
      <c r="L23" s="269"/>
      <c r="M23" s="269"/>
    </row>
    <row r="24" spans="1:13">
      <c r="A24" t="s">
        <v>536</v>
      </c>
      <c r="B24" s="13">
        <f t="shared" ref="B24:K24" si="5">SUM(B25:B28)</f>
        <v>198121.40416012384</v>
      </c>
      <c r="C24" s="13">
        <f t="shared" si="5"/>
        <v>210792.96684424282</v>
      </c>
      <c r="D24" s="13">
        <f t="shared" si="5"/>
        <v>224291.93615724481</v>
      </c>
      <c r="E24" s="13">
        <f t="shared" si="5"/>
        <v>238673.31693200566</v>
      </c>
      <c r="F24" s="13">
        <f t="shared" si="5"/>
        <v>253995.82645429749</v>
      </c>
      <c r="G24" s="13">
        <f t="shared" si="5"/>
        <v>270322.14818097476</v>
      </c>
      <c r="H24" s="13">
        <f t="shared" si="5"/>
        <v>287719.20297458395</v>
      </c>
      <c r="I24" s="13">
        <f t="shared" si="5"/>
        <v>306258.43907355552</v>
      </c>
      <c r="J24" s="13">
        <f t="shared" si="5"/>
        <v>326016.14210253546</v>
      </c>
      <c r="K24" s="13">
        <f t="shared" si="5"/>
        <v>347073.76651882776</v>
      </c>
      <c r="L24" s="269"/>
      <c r="M24" s="269"/>
    </row>
    <row r="25" spans="1:13">
      <c r="A25" t="s">
        <v>443</v>
      </c>
      <c r="B25" s="13">
        <f>AVERAGE(B20*B$18/B$3,B20*B$18/B$3)</f>
        <v>107830.60876299952</v>
      </c>
      <c r="C25" s="13">
        <f>$B25*(1+UF_Calculations_7!$C42)^1</f>
        <v>115570.36374374763</v>
      </c>
      <c r="D25" s="13">
        <f>$B25*(1+UF_Calculations_7!$C42)^2</f>
        <v>123865.65492937498</v>
      </c>
      <c r="E25" s="13">
        <f>$B25*(1+UF_Calculations_7!$C42)^3</f>
        <v>132756.3570285383</v>
      </c>
      <c r="F25" s="13">
        <f>$B25*(1+UF_Calculations_7!$C42)^4</f>
        <v>142285.20683588702</v>
      </c>
      <c r="G25" s="13">
        <f>$B25*(1+UF_Calculations_7!$C42)^5</f>
        <v>152498.00866394004</v>
      </c>
      <c r="H25" s="13">
        <f>$B25*(1+UF_Calculations_7!$C42)^6</f>
        <v>163443.85452024109</v>
      </c>
      <c r="I25" s="13">
        <f>$B25*(1+UF_Calculations_7!$C42)^7</f>
        <v>175175.36008816457</v>
      </c>
      <c r="J25" s="13">
        <f>$B25*(1+UF_Calculations_7!$C42)^8</f>
        <v>187748.91764570976</v>
      </c>
      <c r="K25" s="13">
        <f>$B25*(1+UF_Calculations_7!$C42)^9</f>
        <v>201224.96713804157</v>
      </c>
      <c r="L25" s="269"/>
      <c r="M25" s="13"/>
    </row>
    <row r="26" spans="1:13">
      <c r="A26" t="s">
        <v>444</v>
      </c>
      <c r="B26" s="13">
        <f>AVERAGE(B21*B$18/B$3,B21*B$18/B$3)</f>
        <v>69284.444443653178</v>
      </c>
      <c r="C26" s="13">
        <f>$B26*(1+UF_Calculations_7!$C43)^1</f>
        <v>73032.898946544039</v>
      </c>
      <c r="D26" s="13">
        <f>$B26*(1+UF_Calculations_7!$C43)^2</f>
        <v>76984.153822203589</v>
      </c>
      <c r="E26" s="13">
        <f>$B26*(1+UF_Calculations_7!$C43)^3</f>
        <v>81149.181056863279</v>
      </c>
      <c r="F26" s="13">
        <f>$B26*(1+UF_Calculations_7!$C43)^4</f>
        <v>85539.546247507038</v>
      </c>
      <c r="G26" s="13">
        <f>$B26*(1+UF_Calculations_7!$C43)^5</f>
        <v>90167.440717635574</v>
      </c>
      <c r="H26" s="13">
        <f>$B26*(1+UF_Calculations_7!$C43)^6</f>
        <v>95045.715370570717</v>
      </c>
      <c r="I26" s="13">
        <f>$B26*(1+UF_Calculations_7!$C43)^7</f>
        <v>100187.91637430461</v>
      </c>
      <c r="J26" s="13">
        <f>$B26*(1+UF_Calculations_7!$C43)^8</f>
        <v>105608.3227769848</v>
      </c>
      <c r="K26" s="13">
        <f>$B26*(1+UF_Calculations_7!$C43)^9</f>
        <v>111321.98615748702</v>
      </c>
      <c r="L26" s="269"/>
      <c r="M26" s="13"/>
    </row>
    <row r="27" spans="1:13">
      <c r="A27" s="6" t="s">
        <v>445</v>
      </c>
      <c r="B27" s="13">
        <f>AVERAGE(B22*B$18/B$3,B22*B$18/B$3)</f>
        <v>11336.12705364206</v>
      </c>
      <c r="C27" s="13">
        <f>$B27*(1+UF_Calculations_7!$C44)^1</f>
        <v>12086.827703466057</v>
      </c>
      <c r="D27" s="13">
        <f>$B27*(1+UF_Calculations_7!$C44)^2</f>
        <v>12887.241228152823</v>
      </c>
      <c r="E27" s="13">
        <f>$B27*(1+UF_Calculations_7!$C44)^3</f>
        <v>13740.659712140679</v>
      </c>
      <c r="F27" s="13">
        <f>$B27*(1+UF_Calculations_7!$C44)^4</f>
        <v>14650.593248180256</v>
      </c>
      <c r="G27" s="13">
        <f>$B27*(1+UF_Calculations_7!$C44)^5</f>
        <v>15620.784374274108</v>
      </c>
      <c r="H27" s="13">
        <f>$B27*(1+UF_Calculations_7!$C44)^6</f>
        <v>16655.223466658896</v>
      </c>
      <c r="I27" s="13">
        <f>$B27*(1+UF_Calculations_7!$C44)^7</f>
        <v>17758.165152141126</v>
      </c>
      <c r="J27" s="13">
        <f>$B27*(1+UF_Calculations_7!$C44)^8</f>
        <v>18934.145807290122</v>
      </c>
      <c r="K27" s="13">
        <f>$B27*(1+UF_Calculations_7!$C44)^9</f>
        <v>20188.002216461926</v>
      </c>
      <c r="L27" s="269"/>
      <c r="M27" s="13"/>
    </row>
    <row r="28" spans="1:13">
      <c r="A28" s="6" t="s">
        <v>446</v>
      </c>
      <c r="B28" s="13">
        <f>AVERAGE(B23*B$18/B$3,B23*B$18/B$3)</f>
        <v>9670.2238998290977</v>
      </c>
      <c r="C28" s="13">
        <f>$B28*(1+UF_Calculations_7!$C45)^1</f>
        <v>10102.876450485082</v>
      </c>
      <c r="D28" s="13">
        <f>$B28*(1+UF_Calculations_7!$C45)^2</f>
        <v>10554.886177513419</v>
      </c>
      <c r="E28" s="13">
        <f>$B28*(1+UF_Calculations_7!$C45)^3</f>
        <v>11027.11913446341</v>
      </c>
      <c r="F28" s="13">
        <f>$B28*(1+UF_Calculations_7!$C45)^4</f>
        <v>11520.480122723187</v>
      </c>
      <c r="G28" s="13">
        <f>$B28*(1+UF_Calculations_7!$C45)^5</f>
        <v>12035.914425125002</v>
      </c>
      <c r="H28" s="13">
        <f>$B28*(1+UF_Calculations_7!$C45)^6</f>
        <v>12574.409617113215</v>
      </c>
      <c r="I28" s="13">
        <f>$B28*(1+UF_Calculations_7!$C45)^7</f>
        <v>13136.997458945225</v>
      </c>
      <c r="J28" s="13">
        <f>$B28*(1+UF_Calculations_7!$C45)^8</f>
        <v>13724.755872550755</v>
      </c>
      <c r="K28" s="13">
        <f>$B28*(1+UF_Calculations_7!$C45)^9</f>
        <v>14338.811006837226</v>
      </c>
      <c r="L28" s="269"/>
      <c r="M28" s="13"/>
    </row>
    <row r="29" spans="1:13">
      <c r="A29" s="382" t="s">
        <v>545</v>
      </c>
      <c r="B29" s="13"/>
      <c r="C29" s="13"/>
      <c r="D29" s="13"/>
      <c r="E29" s="13"/>
      <c r="F29" s="13"/>
      <c r="G29" s="13"/>
      <c r="H29" s="13"/>
      <c r="I29" s="13"/>
      <c r="J29" s="13"/>
      <c r="K29" s="13"/>
      <c r="L29" s="269"/>
      <c r="M29" s="269"/>
    </row>
    <row r="30" spans="1:13">
      <c r="A30" t="s">
        <v>502</v>
      </c>
      <c r="B30" s="13">
        <f>UF_Calculations_1!B86</f>
        <v>501156.9190844929</v>
      </c>
      <c r="C30" s="13">
        <f>UF_Calculations_1!C86</f>
        <v>522941.76583097066</v>
      </c>
      <c r="D30" s="13">
        <f>UF_Calculations_1!D86</f>
        <v>546676.8842372332</v>
      </c>
      <c r="E30" s="13">
        <f>UF_Calculations_1!E86</f>
        <v>571022.15966199071</v>
      </c>
      <c r="F30" s="13">
        <f>UF_Calculations_1!F86</f>
        <v>595917.87496144697</v>
      </c>
      <c r="G30" s="13">
        <f>UF_Calculations_1!G86</f>
        <v>621860.4510208338</v>
      </c>
      <c r="H30" s="13">
        <f>UF_Calculations_1!H86</f>
        <v>648903.46833322768</v>
      </c>
      <c r="I30" s="13">
        <f>UF_Calculations_1!I86</f>
        <v>677788.94134595583</v>
      </c>
      <c r="J30" s="13">
        <f>UF_Calculations_1!J86</f>
        <v>707960.25178516074</v>
      </c>
      <c r="K30" s="13">
        <f>UF_Calculations_1!K86</f>
        <v>739474.39919602068</v>
      </c>
    </row>
    <row r="31" spans="1:13">
      <c r="A31" t="s">
        <v>530</v>
      </c>
      <c r="B31" s="13">
        <f>UF_Calculations_1!B120</f>
        <v>527133.12310469057</v>
      </c>
      <c r="C31" s="13">
        <f>UF_Calculations_1!C120</f>
        <v>553860.3013720772</v>
      </c>
      <c r="D31" s="13">
        <f>UF_Calculations_1!D120</f>
        <v>581463.43777612236</v>
      </c>
      <c r="E31" s="13">
        <f>UF_Calculations_1!E120</f>
        <v>611583.05337962066</v>
      </c>
      <c r="F31" s="13">
        <f>UF_Calculations_1!F120</f>
        <v>643552.77415438206</v>
      </c>
      <c r="G31" s="13">
        <f>UF_Calculations_1!G120</f>
        <v>676602.32467592543</v>
      </c>
      <c r="H31" s="13">
        <f>UF_Calculations_1!H120</f>
        <v>711199.54477850813</v>
      </c>
      <c r="I31" s="13">
        <f>UF_Calculations_1!I120</f>
        <v>747932.57472035731</v>
      </c>
      <c r="J31" s="13">
        <f>UF_Calculations_1!J120</f>
        <v>786587.40255665604</v>
      </c>
      <c r="K31" s="13">
        <f>UF_Calculations_1!K120</f>
        <v>827265.54945649963</v>
      </c>
    </row>
    <row r="32" spans="1:13">
      <c r="A32" t="s">
        <v>531</v>
      </c>
      <c r="B32" s="13">
        <f>UF_Calculations_1!B154</f>
        <v>527133.12310469057</v>
      </c>
      <c r="C32" s="13">
        <f>UF_Calculations_1!C154</f>
        <v>550064.52789946145</v>
      </c>
      <c r="D32" s="13">
        <f>UF_Calculations_1!D154</f>
        <v>575051.08991543867</v>
      </c>
      <c r="E32" s="13">
        <f>UF_Calculations_1!E154</f>
        <v>600677.22218173731</v>
      </c>
      <c r="F32" s="13">
        <f>UF_Calculations_1!F154</f>
        <v>626882.43861716823</v>
      </c>
      <c r="G32" s="13">
        <f>UF_Calculations_1!G154</f>
        <v>654191.86136913183</v>
      </c>
      <c r="H32" s="13">
        <f>UF_Calculations_1!H154</f>
        <v>682662.19822977344</v>
      </c>
      <c r="I32" s="13">
        <f>UF_Calculations_1!I154</f>
        <v>713071.97348932386</v>
      </c>
      <c r="J32" s="13">
        <f>UF_Calculations_1!J154</f>
        <v>744836.52322969714</v>
      </c>
      <c r="K32" s="13">
        <f>UF_Calculations_1!K154</f>
        <v>778015.97184871288</v>
      </c>
    </row>
    <row r="33" spans="1:12">
      <c r="A33" t="s">
        <v>532</v>
      </c>
      <c r="B33" s="13">
        <f>UF_Calculations_1!B52</f>
        <v>482226.40267381025</v>
      </c>
      <c r="C33" s="13">
        <f>UF_Calculations_1!C52</f>
        <v>506618.93413428083</v>
      </c>
      <c r="D33" s="13">
        <f>UF_Calculations_1!D52</f>
        <v>531885.66798921244</v>
      </c>
      <c r="E33" s="13">
        <f>UF_Calculations_1!E52</f>
        <v>559402.79353703337</v>
      </c>
      <c r="F33" s="13">
        <f>UF_Calculations_1!F52</f>
        <v>588637.9018189708</v>
      </c>
      <c r="G33" s="13">
        <f>UF_Calculations_1!G52</f>
        <v>618822.0955486137</v>
      </c>
      <c r="H33" s="13">
        <f>UF_Calculations_1!H52</f>
        <v>650443.09763539874</v>
      </c>
      <c r="I33" s="13">
        <f>UF_Calculations_1!I52</f>
        <v>684013.21564776008</v>
      </c>
      <c r="J33" s="13">
        <f>UF_Calculations_1!J52</f>
        <v>719339.60823200655</v>
      </c>
      <c r="K33" s="13">
        <f>UF_Calculations_1!K52</f>
        <v>756515.08958973701</v>
      </c>
    </row>
    <row r="34" spans="1:12">
      <c r="A34" t="s">
        <v>533</v>
      </c>
      <c r="B34" s="13">
        <f>UF_Calculations_1!B256</f>
        <v>482226.40267381025</v>
      </c>
      <c r="C34" s="13">
        <f>UF_Calculations_1!C256</f>
        <v>503183.60264335421</v>
      </c>
      <c r="D34" s="13">
        <f>UF_Calculations_1!D256</f>
        <v>526105.62339350849</v>
      </c>
      <c r="E34" s="13">
        <f>UF_Calculations_1!E256</f>
        <v>549562.7906898259</v>
      </c>
      <c r="F34" s="13">
        <f>UF_Calculations_1!F256</f>
        <v>573620.87778774218</v>
      </c>
      <c r="G34" s="13">
        <f>UF_Calculations_1!G256</f>
        <v>598728.34873535344</v>
      </c>
      <c r="H34" s="13">
        <f>UF_Calculations_1!H256</f>
        <v>624906.5835781293</v>
      </c>
      <c r="I34" s="13">
        <f>UF_Calculations_1!I256</f>
        <v>652834.75448352785</v>
      </c>
      <c r="J34" s="13">
        <f>UF_Calculations_1!J256</f>
        <v>681998.32571329142</v>
      </c>
      <c r="K34" s="13">
        <f>UF_Calculations_1!K256</f>
        <v>712465.12705518503</v>
      </c>
    </row>
    <row r="35" spans="1:12">
      <c r="A35" t="s">
        <v>540</v>
      </c>
      <c r="B35" s="13">
        <f>UF_Calculations_1!B222</f>
        <v>508186.973448848</v>
      </c>
      <c r="C35" s="13">
        <f>UF_Calculations_1!C222</f>
        <v>533928.60084924381</v>
      </c>
      <c r="D35" s="13">
        <f>UF_Calculations_1!D222</f>
        <v>560505.52278953511</v>
      </c>
      <c r="E35" s="13">
        <f>UF_Calculations_1!E222</f>
        <v>589510.3348725515</v>
      </c>
      <c r="F35" s="13">
        <f>UF_Calculations_1!F222</f>
        <v>620310.74514324323</v>
      </c>
      <c r="G35" s="13">
        <f>UF_Calculations_1!G222</f>
        <v>652141.28805729211</v>
      </c>
      <c r="H35" s="13">
        <f>UF_Calculations_1!H222</f>
        <v>685460.87516351498</v>
      </c>
      <c r="I35" s="13">
        <f>UF_Calculations_1!I222</f>
        <v>720839.77380866557</v>
      </c>
      <c r="J35" s="13">
        <f>UF_Calculations_1!J222</f>
        <v>758068.45173835603</v>
      </c>
      <c r="K35" s="13">
        <f>UF_Calculations_1!K222</f>
        <v>797244.56124978757</v>
      </c>
    </row>
    <row r="36" spans="1:12">
      <c r="A36" t="s">
        <v>541</v>
      </c>
      <c r="B36" s="13">
        <f>UF_Calculations_1!B188</f>
        <v>508186.973448848</v>
      </c>
      <c r="C36" s="13">
        <f>UF_Calculations_1!C188</f>
        <v>530286.28103098564</v>
      </c>
      <c r="D36" s="13">
        <f>UF_Calculations_1!D188</f>
        <v>554454.44716712285</v>
      </c>
      <c r="E36" s="13">
        <f>UF_Calculations_1!E188</f>
        <v>579187.37265059305</v>
      </c>
      <c r="F36" s="13">
        <f>UF_Calculations_1!F188</f>
        <v>604549.35020992416</v>
      </c>
      <c r="G36" s="13">
        <f>UF_Calculations_1!G188</f>
        <v>631017.75905699201</v>
      </c>
      <c r="H36" s="13">
        <f>UF_Calculations_1!H188</f>
        <v>658616.67473686754</v>
      </c>
      <c r="I36" s="13">
        <f>UF_Calculations_1!I188</f>
        <v>688061.9334582272</v>
      </c>
      <c r="J36" s="13">
        <f>UF_Calculations_1!J188</f>
        <v>718810.92897836166</v>
      </c>
      <c r="K36" s="13">
        <f>UF_Calculations_1!K188</f>
        <v>750934.56700184674</v>
      </c>
    </row>
    <row r="37" spans="1:12">
      <c r="A37" s="382" t="s">
        <v>546</v>
      </c>
      <c r="B37" s="13"/>
      <c r="C37" s="13"/>
      <c r="D37" s="13"/>
      <c r="E37" s="13"/>
      <c r="F37" s="13"/>
      <c r="G37" s="13"/>
      <c r="H37" s="13"/>
      <c r="I37" s="13"/>
      <c r="J37" s="13"/>
      <c r="K37" s="13"/>
    </row>
    <row r="38" spans="1:12">
      <c r="A38" s="264" t="s">
        <v>501</v>
      </c>
      <c r="B38" s="13">
        <f>UF_Calculations_1!B35</f>
        <v>504925.9331831712</v>
      </c>
      <c r="C38" s="13">
        <f>UF_Calculations_1!C35</f>
        <v>530560.01627020689</v>
      </c>
      <c r="D38" s="13">
        <f>UF_Calculations_1!D35</f>
        <v>557112.78912094887</v>
      </c>
      <c r="E38" s="13">
        <f>UF_Calculations_1!E35</f>
        <v>586034.57784710196</v>
      </c>
      <c r="F38" s="13">
        <f>UF_Calculations_1!F35</f>
        <v>616759.11072071397</v>
      </c>
      <c r="G38" s="13">
        <f>UF_Calculations_1!G35</f>
        <v>648483.49953266256</v>
      </c>
      <c r="H38" s="13">
        <f>UF_Calculations_1!H35</f>
        <v>681723.86491626676</v>
      </c>
      <c r="I38" s="13">
        <f>UF_Calculations_1!I35</f>
        <v>717013.55478292622</v>
      </c>
      <c r="J38" s="13">
        <f>UF_Calculations_1!J35</f>
        <v>754152.26137028472</v>
      </c>
      <c r="K38" s="13">
        <f>UF_Calculations_1!K35</f>
        <v>793237.87346717366</v>
      </c>
    </row>
    <row r="39" spans="1:12">
      <c r="A39" t="s">
        <v>502</v>
      </c>
      <c r="B39" s="13">
        <f>UF_Calculations_1!B103</f>
        <v>504925.9331831712</v>
      </c>
      <c r="C39" s="13">
        <f>UF_Calculations_1!C103</f>
        <v>526946.19697251706</v>
      </c>
      <c r="D39" s="13">
        <f>UF_Calculations_1!D103</f>
        <v>550934.90305888932</v>
      </c>
      <c r="E39" s="13">
        <f>UF_Calculations_1!E103</f>
        <v>575544.83461492788</v>
      </c>
      <c r="F39" s="13">
        <f>UF_Calculations_1!F103</f>
        <v>600716.38998142839</v>
      </c>
      <c r="G39" s="13">
        <f>UF_Calculations_1!G103</f>
        <v>626945.9273660545</v>
      </c>
      <c r="H39" s="13">
        <f>UF_Calculations_1!H103</f>
        <v>654290.05353195185</v>
      </c>
      <c r="I39" s="13">
        <f>UF_Calculations_1!I103</f>
        <v>683498.92846325424</v>
      </c>
      <c r="J39" s="13">
        <f>UF_Calculations_1!J103</f>
        <v>714010.66328223958</v>
      </c>
      <c r="K39" s="13">
        <f>UF_Calculations_1!K103</f>
        <v>745883.20397716924</v>
      </c>
      <c r="L39" s="13"/>
    </row>
    <row r="40" spans="1:12">
      <c r="A40" t="s">
        <v>530</v>
      </c>
      <c r="B40" s="13">
        <f>UF_Calculations_1!B137</f>
        <v>532255.98038688442</v>
      </c>
      <c r="C40" s="13">
        <f>UF_Calculations_1!C137</f>
        <v>559313.70324700337</v>
      </c>
      <c r="D40" s="13">
        <f>UF_Calculations_1!D137</f>
        <v>587249.15090745059</v>
      </c>
      <c r="E40" s="13">
        <f>UF_Calculations_1!E137</f>
        <v>617740.72699454206</v>
      </c>
      <c r="F40" s="13">
        <f>UF_Calculations_1!F137</f>
        <v>650117.0573338751</v>
      </c>
      <c r="G40" s="13">
        <f>UF_Calculations_1!G137</f>
        <v>683579.04329660314</v>
      </c>
      <c r="H40" s="13">
        <f>UF_Calculations_1!H137</f>
        <v>718612.43994155165</v>
      </c>
      <c r="I40" s="13">
        <f>UF_Calculations_1!I137</f>
        <v>755811.57444366405</v>
      </c>
      <c r="J40" s="13">
        <f>UF_Calculations_1!J137</f>
        <v>794958.63442686351</v>
      </c>
      <c r="K40" s="13">
        <f>UF_Calculations_1!K137</f>
        <v>836156.63727641897</v>
      </c>
      <c r="L40" s="13"/>
    </row>
    <row r="41" spans="1:12">
      <c r="A41" t="s">
        <v>531</v>
      </c>
      <c r="B41" s="13">
        <f>UF_Calculations_1!B171</f>
        <v>532255.98038688442</v>
      </c>
      <c r="C41" s="13">
        <f>UF_Calculations_1!C171</f>
        <v>555481.24186719372</v>
      </c>
      <c r="D41" s="13">
        <f>UF_Calculations_1!D171</f>
        <v>580785.33297013503</v>
      </c>
      <c r="E41" s="13">
        <f>UF_Calculations_1!E171</f>
        <v>606741.30874619517</v>
      </c>
      <c r="F41" s="13">
        <f>UF_Calculations_1!F171</f>
        <v>633288.71889248921</v>
      </c>
      <c r="G41" s="13">
        <f>UF_Calculations_1!G171</f>
        <v>660954.41822673008</v>
      </c>
      <c r="H41" s="13">
        <f>UF_Calculations_1!H171</f>
        <v>689798.15399876796</v>
      </c>
      <c r="I41" s="13">
        <f>UF_Calculations_1!I171</f>
        <v>720608.42874480702</v>
      </c>
      <c r="J41" s="13">
        <f>UF_Calculations_1!J171</f>
        <v>752793.85178273579</v>
      </c>
      <c r="K41" s="13">
        <f>UF_Calculations_1!K171</f>
        <v>786415.63611121778</v>
      </c>
      <c r="L41" s="13"/>
    </row>
    <row r="42" spans="1:12">
      <c r="A42" t="s">
        <v>532</v>
      </c>
      <c r="B42" s="13">
        <f>UF_Calculations_1!B69</f>
        <v>486131.01569574745</v>
      </c>
      <c r="C42" s="13">
        <f>UF_Calculations_1!C69</f>
        <v>510793.9833024324</v>
      </c>
      <c r="D42" s="13">
        <f>UF_Calculations_1!D69</f>
        <v>536331.18377838272</v>
      </c>
      <c r="E42" s="13">
        <f>UF_Calculations_1!E69</f>
        <v>564149.4452165945</v>
      </c>
      <c r="F42" s="13">
        <f>UF_Calculations_1!F69</f>
        <v>593716.29806368728</v>
      </c>
      <c r="G42" s="13">
        <f>UF_Calculations_1!G69</f>
        <v>624234.50030509837</v>
      </c>
      <c r="H42" s="13">
        <f>UF_Calculations_1!H69</f>
        <v>656210.72828869848</v>
      </c>
      <c r="I42" s="13">
        <f>UF_Calculations_1!I69</f>
        <v>690160.49224409414</v>
      </c>
      <c r="J42" s="13">
        <f>UF_Calculations_1!J69</f>
        <v>725888.09572235227</v>
      </c>
      <c r="K42" s="13">
        <f>UF_Calculations_1!K69</f>
        <v>763487.6064782684</v>
      </c>
      <c r="L42" s="13"/>
    </row>
    <row r="43" spans="1:12">
      <c r="A43" s="6" t="s">
        <v>533</v>
      </c>
      <c r="B43" s="13">
        <f>UF_Calculations_1!B273</f>
        <v>486131.01569574745</v>
      </c>
      <c r="C43" s="13">
        <f>UF_Calculations_1!C273</f>
        <v>507326.58023290872</v>
      </c>
      <c r="D43" s="13">
        <f>UF_Calculations_1!D273</f>
        <v>530415.01189394132</v>
      </c>
      <c r="E43" s="13">
        <f>UF_Calculations_1!E273</f>
        <v>554104.03497307771</v>
      </c>
      <c r="F43" s="13">
        <f>UF_Calculations_1!F273</f>
        <v>578335.04280688125</v>
      </c>
      <c r="G43" s="13">
        <f>UF_Calculations_1!G273</f>
        <v>603582.46660047944</v>
      </c>
      <c r="H43" s="13">
        <f>UF_Calculations_1!H273</f>
        <v>629901.53193866007</v>
      </c>
      <c r="I43" s="13">
        <f>UF_Calculations_1!I273</f>
        <v>658016.15623260988</v>
      </c>
      <c r="J43" s="13">
        <f>UF_Calculations_1!J273</f>
        <v>687384.62115082936</v>
      </c>
      <c r="K43" s="13">
        <f>UF_Calculations_1!K273</f>
        <v>718062.68211752735</v>
      </c>
      <c r="L43" s="13"/>
    </row>
    <row r="44" spans="1:12">
      <c r="A44" s="6" t="s">
        <v>540</v>
      </c>
      <c r="B44" s="13">
        <f>UF_Calculations_1!B239</f>
        <v>513460.21731490677</v>
      </c>
      <c r="C44" s="13">
        <f>UF_Calculations_1!C239</f>
        <v>539546.77135883085</v>
      </c>
      <c r="D44" s="13">
        <f>UF_Calculations_1!D239</f>
        <v>566466.5967011865</v>
      </c>
      <c r="E44" s="13">
        <f>UF_Calculations_1!E239</f>
        <v>595854.58744818391</v>
      </c>
      <c r="F44" s="13">
        <f>UF_Calculations_1!F239</f>
        <v>627073.17155886104</v>
      </c>
      <c r="G44" s="13">
        <f>UF_Calculations_1!G239</f>
        <v>659328.90481303586</v>
      </c>
      <c r="H44" s="13">
        <f>UF_Calculations_1!H239</f>
        <v>693098.0962933508</v>
      </c>
      <c r="I44" s="13">
        <f>UF_Calculations_1!I239</f>
        <v>728957.22979218117</v>
      </c>
      <c r="J44" s="13">
        <f>UF_Calculations_1!J239</f>
        <v>766693.1069202607</v>
      </c>
      <c r="K44" s="13">
        <f>UF_Calculations_1!K239</f>
        <v>806404.92374320992</v>
      </c>
      <c r="L44" s="13"/>
    </row>
    <row r="45" spans="1:12">
      <c r="A45" s="6" t="s">
        <v>541</v>
      </c>
      <c r="B45" s="13">
        <f>UF_Calculations_1!B205</f>
        <v>513460.21731490677</v>
      </c>
      <c r="C45" s="13">
        <f>UF_Calculations_1!C205</f>
        <v>535861.04615172418</v>
      </c>
      <c r="D45" s="13">
        <f>UF_Calculations_1!D205</f>
        <v>560264.94476301176</v>
      </c>
      <c r="E45" s="13">
        <f>UF_Calculations_1!E205</f>
        <v>585300.35369357117</v>
      </c>
      <c r="F45" s="13">
        <f>UF_Calculations_1!F205</f>
        <v>610907.74935020239</v>
      </c>
      <c r="G45" s="13">
        <f>UF_Calculations_1!G205</f>
        <v>637591.94561391172</v>
      </c>
      <c r="H45" s="13">
        <f>UF_Calculations_1!H205</f>
        <v>665411.1537322395</v>
      </c>
      <c r="I45" s="13">
        <f>UF_Calculations_1!I205</f>
        <v>695127.72448495787</v>
      </c>
      <c r="J45" s="13">
        <f>UF_Calculations_1!J205</f>
        <v>726170.49417418928</v>
      </c>
      <c r="K45" s="13">
        <f>UF_Calculations_1!K205</f>
        <v>758598.49249337649</v>
      </c>
      <c r="L45" s="13"/>
    </row>
    <row r="47" spans="1:12">
      <c r="A47" s="313" t="s">
        <v>503</v>
      </c>
      <c r="K47" s="88"/>
    </row>
    <row r="48" spans="1:12">
      <c r="A48" t="s">
        <v>501</v>
      </c>
      <c r="B48" s="13">
        <f t="shared" ref="B48:K48" si="6">(B18*$B$137/B$137)/1000</f>
        <v>501.15691908449293</v>
      </c>
      <c r="C48" s="13">
        <f t="shared" si="6"/>
        <v>513.15817440113142</v>
      </c>
      <c r="D48" s="13">
        <f t="shared" si="6"/>
        <v>525.07752401342543</v>
      </c>
      <c r="E48" s="13">
        <f t="shared" si="6"/>
        <v>538.39132652111084</v>
      </c>
      <c r="F48" s="13">
        <f t="shared" si="6"/>
        <v>552.11172088001308</v>
      </c>
      <c r="G48" s="13">
        <f t="shared" si="6"/>
        <v>565.6689214100046</v>
      </c>
      <c r="H48" s="13">
        <f t="shared" si="6"/>
        <v>579.65519413328184</v>
      </c>
      <c r="I48" s="13">
        <f t="shared" si="6"/>
        <v>594.13773199890409</v>
      </c>
      <c r="J48" s="13">
        <f t="shared" si="6"/>
        <v>609.00203306964818</v>
      </c>
      <c r="K48" s="13">
        <f t="shared" si="6"/>
        <v>624.25841122716452</v>
      </c>
    </row>
    <row r="49" spans="1:13">
      <c r="A49" t="s">
        <v>535</v>
      </c>
      <c r="B49" s="13">
        <f t="shared" ref="B49:K49" si="7">(B19*$B$137/B$137)/1000</f>
        <v>204.38709717530497</v>
      </c>
      <c r="C49" s="13">
        <f t="shared" si="7"/>
        <v>211.93857350814434</v>
      </c>
      <c r="D49" s="13">
        <f t="shared" si="7"/>
        <v>219.77626471422633</v>
      </c>
      <c r="E49" s="13">
        <f t="shared" si="7"/>
        <v>227.99202198759497</v>
      </c>
      <c r="F49" s="13">
        <f t="shared" si="7"/>
        <v>236.45020817550986</v>
      </c>
      <c r="G49" s="13">
        <f t="shared" si="7"/>
        <v>245.24342117867818</v>
      </c>
      <c r="H49" s="13">
        <f t="shared" si="7"/>
        <v>254.46844293292602</v>
      </c>
      <c r="I49" s="13">
        <f t="shared" si="7"/>
        <v>263.99938202548299</v>
      </c>
      <c r="J49" s="13">
        <f t="shared" si="7"/>
        <v>273.90736576163221</v>
      </c>
      <c r="K49" s="13">
        <f t="shared" si="7"/>
        <v>284.20790802270068</v>
      </c>
    </row>
    <row r="50" spans="1:13">
      <c r="A50" t="s">
        <v>443</v>
      </c>
      <c r="B50" s="13">
        <f t="shared" ref="B50:K50" si="8">(B20*$B$137/B$137)/1000</f>
        <v>111.2408081557062</v>
      </c>
      <c r="C50" s="13">
        <f t="shared" si="8"/>
        <v>116.19845955185963</v>
      </c>
      <c r="D50" s="13">
        <f t="shared" si="8"/>
        <v>121.37186665361985</v>
      </c>
      <c r="E50" s="13">
        <f t="shared" si="8"/>
        <v>126.81514071079097</v>
      </c>
      <c r="F50" s="13">
        <f t="shared" si="8"/>
        <v>132.45637633614638</v>
      </c>
      <c r="G50" s="13">
        <f t="shared" si="8"/>
        <v>138.35023737175416</v>
      </c>
      <c r="H50" s="13">
        <f t="shared" si="8"/>
        <v>144.55518692089336</v>
      </c>
      <c r="I50" s="13">
        <f t="shared" si="8"/>
        <v>151.00379584400525</v>
      </c>
      <c r="J50" s="13">
        <f t="shared" si="8"/>
        <v>157.74007730193938</v>
      </c>
      <c r="K50" s="13">
        <f t="shared" si="8"/>
        <v>164.77686437052307</v>
      </c>
    </row>
    <row r="51" spans="1:13">
      <c r="A51" t="s">
        <v>444</v>
      </c>
      <c r="B51" s="13">
        <f t="shared" ref="B51:K51" si="9">(B21*$B$137/B$137)/1000</f>
        <v>71.47560123184374</v>
      </c>
      <c r="C51" s="13">
        <f t="shared" si="9"/>
        <v>73.429814351122189</v>
      </c>
      <c r="D51" s="13">
        <f t="shared" si="9"/>
        <v>75.434231203781195</v>
      </c>
      <c r="E51" s="13">
        <f t="shared" si="9"/>
        <v>77.517529439884797</v>
      </c>
      <c r="F51" s="13">
        <f t="shared" si="9"/>
        <v>79.630613619948619</v>
      </c>
      <c r="G51" s="13">
        <f t="shared" si="9"/>
        <v>81.802293261277455</v>
      </c>
      <c r="H51" s="13">
        <f t="shared" si="9"/>
        <v>84.06159529064081</v>
      </c>
      <c r="I51" s="13">
        <f t="shared" si="9"/>
        <v>86.363491204513963</v>
      </c>
      <c r="J51" s="13">
        <f t="shared" si="9"/>
        <v>88.728420954230813</v>
      </c>
      <c r="K51" s="13">
        <f t="shared" si="9"/>
        <v>91.158110623250224</v>
      </c>
    </row>
    <row r="52" spans="1:13">
      <c r="A52" s="6" t="s">
        <v>445</v>
      </c>
      <c r="B52" s="13">
        <f t="shared" ref="B52:K52" si="10">(B22*$B$137/B$137)/1000</f>
        <v>11.694638000000001</v>
      </c>
      <c r="C52" s="13">
        <f t="shared" si="10"/>
        <v>12.152516566665897</v>
      </c>
      <c r="D52" s="13">
        <f t="shared" si="10"/>
        <v>12.627782291775986</v>
      </c>
      <c r="E52" s="13">
        <f t="shared" si="10"/>
        <v>13.125726962209658</v>
      </c>
      <c r="F52" s="13">
        <f t="shared" si="10"/>
        <v>13.638554112424579</v>
      </c>
      <c r="G52" s="13">
        <f t="shared" si="10"/>
        <v>14.171589813191032</v>
      </c>
      <c r="H52" s="13">
        <f t="shared" si="10"/>
        <v>14.730434181812358</v>
      </c>
      <c r="I52" s="13">
        <f t="shared" si="10"/>
        <v>15.307805526122172</v>
      </c>
      <c r="J52" s="13">
        <f t="shared" si="10"/>
        <v>15.907807409702967</v>
      </c>
      <c r="K52" s="13">
        <f t="shared" si="10"/>
        <v>16.531326854941192</v>
      </c>
    </row>
    <row r="53" spans="1:13">
      <c r="A53" s="6" t="s">
        <v>446</v>
      </c>
      <c r="B53" s="13">
        <f t="shared" ref="B53:K53" si="11">(B23*$B$137/B$137)/1000</f>
        <v>9.9760497877549987</v>
      </c>
      <c r="C53" s="13">
        <f t="shared" si="11"/>
        <v>10.15778303849663</v>
      </c>
      <c r="D53" s="13">
        <f t="shared" si="11"/>
        <v>10.342384565049324</v>
      </c>
      <c r="E53" s="13">
        <f t="shared" si="11"/>
        <v>10.533624874709549</v>
      </c>
      <c r="F53" s="13">
        <f t="shared" si="11"/>
        <v>10.724664106990215</v>
      </c>
      <c r="G53" s="13">
        <f t="shared" si="11"/>
        <v>10.919300732455488</v>
      </c>
      <c r="H53" s="13">
        <f t="shared" si="11"/>
        <v>11.121226539579522</v>
      </c>
      <c r="I53" s="13">
        <f t="shared" si="11"/>
        <v>11.324289450841595</v>
      </c>
      <c r="J53" s="13">
        <f t="shared" si="11"/>
        <v>11.531060095759083</v>
      </c>
      <c r="K53" s="13">
        <f t="shared" si="11"/>
        <v>11.741606173986106</v>
      </c>
    </row>
    <row r="54" spans="1:13">
      <c r="A54" t="s">
        <v>536</v>
      </c>
      <c r="B54" s="13">
        <f t="shared" ref="B54:K54" si="12">(B24*$B$137/B$137)/1000</f>
        <v>198.12140416012383</v>
      </c>
      <c r="C54" s="13">
        <f t="shared" si="12"/>
        <v>205.44138235454409</v>
      </c>
      <c r="D54" s="13">
        <f t="shared" si="12"/>
        <v>213.03880121602219</v>
      </c>
      <c r="E54" s="13">
        <f t="shared" si="12"/>
        <v>221.00269614742498</v>
      </c>
      <c r="F54" s="13">
        <f t="shared" si="12"/>
        <v>229.20158809000267</v>
      </c>
      <c r="G54" s="13">
        <f t="shared" si="12"/>
        <v>237.72523626223804</v>
      </c>
      <c r="H54" s="13">
        <f t="shared" si="12"/>
        <v>246.66745565190757</v>
      </c>
      <c r="I54" s="13">
        <f t="shared" si="12"/>
        <v>255.90621417472366</v>
      </c>
      <c r="J54" s="13">
        <f t="shared" si="12"/>
        <v>265.51045865654578</v>
      </c>
      <c r="K54" s="13">
        <f t="shared" si="12"/>
        <v>275.49522738499041</v>
      </c>
    </row>
    <row r="55" spans="1:13">
      <c r="A55" t="s">
        <v>443</v>
      </c>
      <c r="B55" s="13">
        <f t="shared" ref="B55:K55" si="13">(B25*$B$137/B$137)/1000</f>
        <v>107.83060876299952</v>
      </c>
      <c r="C55" s="13">
        <f t="shared" si="13"/>
        <v>112.63627834545782</v>
      </c>
      <c r="D55" s="13">
        <f t="shared" si="13"/>
        <v>117.6510894243273</v>
      </c>
      <c r="E55" s="13">
        <f t="shared" si="13"/>
        <v>122.9274944143651</v>
      </c>
      <c r="F55" s="13">
        <f t="shared" si="13"/>
        <v>128.39579226065675</v>
      </c>
      <c r="G55" s="13">
        <f t="shared" si="13"/>
        <v>134.10897102994917</v>
      </c>
      <c r="H55" s="13">
        <f t="shared" si="13"/>
        <v>140.12370158000817</v>
      </c>
      <c r="I55" s="13">
        <f t="shared" si="13"/>
        <v>146.37462187969135</v>
      </c>
      <c r="J55" s="13">
        <f t="shared" si="13"/>
        <v>152.90439582192317</v>
      </c>
      <c r="K55" s="13">
        <f t="shared" si="13"/>
        <v>159.72546307162258</v>
      </c>
    </row>
    <row r="56" spans="1:13">
      <c r="A56" t="s">
        <v>444</v>
      </c>
      <c r="B56" s="13">
        <f t="shared" ref="B56:K56" si="14">(B26*$B$137/B$137)/1000</f>
        <v>69.284444443653172</v>
      </c>
      <c r="C56" s="13">
        <f t="shared" si="14"/>
        <v>71.178749184854624</v>
      </c>
      <c r="D56" s="13">
        <f t="shared" si="14"/>
        <v>73.121718613254544</v>
      </c>
      <c r="E56" s="13">
        <f t="shared" si="14"/>
        <v>75.141151236572895</v>
      </c>
      <c r="F56" s="13">
        <f t="shared" si="14"/>
        <v>77.189456685638064</v>
      </c>
      <c r="G56" s="13">
        <f t="shared" si="14"/>
        <v>79.294561292887266</v>
      </c>
      <c r="H56" s="13">
        <f t="shared" si="14"/>
        <v>81.484602135315598</v>
      </c>
      <c r="I56" s="13">
        <f t="shared" si="14"/>
        <v>83.715931103679168</v>
      </c>
      <c r="J56" s="13">
        <f t="shared" si="14"/>
        <v>86.00836154194738</v>
      </c>
      <c r="K56" s="13">
        <f t="shared" si="14"/>
        <v>88.363566618746319</v>
      </c>
    </row>
    <row r="57" spans="1:13">
      <c r="A57" s="6" t="s">
        <v>445</v>
      </c>
      <c r="B57" s="13">
        <f t="shared" ref="B57:K57" si="15">(B27*$B$137/B$137)/1000</f>
        <v>11.336127053642059</v>
      </c>
      <c r="C57" s="13">
        <f t="shared" si="15"/>
        <v>11.77996889011995</v>
      </c>
      <c r="D57" s="13">
        <f t="shared" si="15"/>
        <v>12.240664864128661</v>
      </c>
      <c r="E57" s="13">
        <f t="shared" si="15"/>
        <v>12.723344537472975</v>
      </c>
      <c r="F57" s="13">
        <f t="shared" si="15"/>
        <v>13.220450453140783</v>
      </c>
      <c r="G57" s="13">
        <f t="shared" si="15"/>
        <v>13.737145405820435</v>
      </c>
      <c r="H57" s="13">
        <f t="shared" si="15"/>
        <v>14.27885783555992</v>
      </c>
      <c r="I57" s="13">
        <f t="shared" si="15"/>
        <v>14.838529277825012</v>
      </c>
      <c r="J57" s="13">
        <f t="shared" si="15"/>
        <v>15.420137497309574</v>
      </c>
      <c r="K57" s="13">
        <f t="shared" si="15"/>
        <v>16.024542323832371</v>
      </c>
    </row>
    <row r="58" spans="1:13">
      <c r="A58" s="6" t="s">
        <v>446</v>
      </c>
      <c r="B58" s="13">
        <f t="shared" ref="B58:K58" si="16">(B28*$B$137/B$137)/1000</f>
        <v>9.6702238998290984</v>
      </c>
      <c r="C58" s="13">
        <f t="shared" si="16"/>
        <v>9.8463859341116926</v>
      </c>
      <c r="D58" s="13">
        <f t="shared" si="16"/>
        <v>10.025328314311714</v>
      </c>
      <c r="E58" s="13">
        <f t="shared" si="16"/>
        <v>10.210705959014023</v>
      </c>
      <c r="F58" s="13">
        <f t="shared" si="16"/>
        <v>10.395888690567054</v>
      </c>
      <c r="G58" s="13">
        <f t="shared" si="16"/>
        <v>10.584558533581134</v>
      </c>
      <c r="H58" s="13">
        <f t="shared" si="16"/>
        <v>10.780294101023861</v>
      </c>
      <c r="I58" s="13">
        <f t="shared" si="16"/>
        <v>10.977131913528131</v>
      </c>
      <c r="J58" s="13">
        <f t="shared" si="16"/>
        <v>11.177563795365613</v>
      </c>
      <c r="K58" s="13">
        <f t="shared" si="16"/>
        <v>11.381655370789122</v>
      </c>
    </row>
    <row r="59" spans="1:13">
      <c r="A59" s="382" t="s">
        <v>568</v>
      </c>
      <c r="B59" s="13"/>
      <c r="C59" s="13"/>
      <c r="D59" s="13"/>
      <c r="E59" s="13"/>
      <c r="F59" s="13"/>
      <c r="G59" s="13"/>
      <c r="H59" s="13"/>
      <c r="I59" s="13"/>
      <c r="J59" s="13"/>
      <c r="K59" s="13"/>
      <c r="L59" s="269"/>
      <c r="M59" s="269"/>
    </row>
    <row r="60" spans="1:13">
      <c r="A60" t="s">
        <v>502</v>
      </c>
      <c r="B60" s="13">
        <f t="shared" ref="B60:K60" si="17">(B30*$B$137/B$137)/1000</f>
        <v>501.15691908449293</v>
      </c>
      <c r="C60" s="13">
        <f t="shared" si="17"/>
        <v>509.66538813709548</v>
      </c>
      <c r="D60" s="13">
        <f t="shared" si="17"/>
        <v>519.24910928924828</v>
      </c>
      <c r="E60" s="13">
        <f t="shared" si="17"/>
        <v>528.74547715435244</v>
      </c>
      <c r="F60" s="13">
        <f t="shared" si="17"/>
        <v>537.74632921757723</v>
      </c>
      <c r="G60" s="13">
        <f t="shared" si="17"/>
        <v>546.87314241857609</v>
      </c>
      <c r="H60" s="13">
        <f t="shared" si="17"/>
        <v>556.31798587873482</v>
      </c>
      <c r="I60" s="13">
        <f t="shared" si="17"/>
        <v>566.35305304249584</v>
      </c>
      <c r="J60" s="13">
        <f t="shared" si="17"/>
        <v>576.56915375362883</v>
      </c>
      <c r="K60" s="13">
        <f t="shared" si="17"/>
        <v>586.96936330056974</v>
      </c>
    </row>
    <row r="61" spans="1:13">
      <c r="A61" t="s">
        <v>530</v>
      </c>
      <c r="B61" s="13">
        <f t="shared" ref="B61:K61" si="18">(B31*$B$137/B$137)/1000</f>
        <v>527.13312310469053</v>
      </c>
      <c r="C61" s="13">
        <f t="shared" si="18"/>
        <v>539.79896790988062</v>
      </c>
      <c r="D61" s="13">
        <f t="shared" si="18"/>
        <v>552.29035808013805</v>
      </c>
      <c r="E61" s="13">
        <f t="shared" si="18"/>
        <v>566.30337003057673</v>
      </c>
      <c r="F61" s="13">
        <f t="shared" si="18"/>
        <v>580.73126600153842</v>
      </c>
      <c r="G61" s="13">
        <f t="shared" si="18"/>
        <v>595.01394381299963</v>
      </c>
      <c r="H61" s="13">
        <f t="shared" si="18"/>
        <v>609.72566432003612</v>
      </c>
      <c r="I61" s="13">
        <f t="shared" si="18"/>
        <v>624.96430868528876</v>
      </c>
      <c r="J61" s="13">
        <f t="shared" si="18"/>
        <v>640.60380777278851</v>
      </c>
      <c r="K61" s="13">
        <f t="shared" si="18"/>
        <v>656.65496110874778</v>
      </c>
    </row>
    <row r="62" spans="1:13" s="401" customFormat="1">
      <c r="A62" s="401" t="s">
        <v>531</v>
      </c>
      <c r="B62" s="213">
        <f t="shared" ref="B62:K62" si="19">(B32*$B$137/B$137)/1000</f>
        <v>527.13312310469053</v>
      </c>
      <c r="C62" s="213">
        <f t="shared" si="19"/>
        <v>536.09956104164712</v>
      </c>
      <c r="D62" s="213">
        <f t="shared" si="19"/>
        <v>546.19972939047159</v>
      </c>
      <c r="E62" s="213">
        <f t="shared" si="19"/>
        <v>556.2049722312637</v>
      </c>
      <c r="F62" s="213">
        <f t="shared" si="19"/>
        <v>565.68823386805502</v>
      </c>
      <c r="G62" s="213">
        <f t="shared" si="19"/>
        <v>575.30585581427943</v>
      </c>
      <c r="H62" s="213">
        <f t="shared" si="19"/>
        <v>585.2600235443839</v>
      </c>
      <c r="I62" s="213">
        <f t="shared" si="19"/>
        <v>595.8351701973013</v>
      </c>
      <c r="J62" s="213">
        <f t="shared" si="19"/>
        <v>606.60151865936029</v>
      </c>
      <c r="K62" s="213">
        <f t="shared" si="19"/>
        <v>617.56233904814053</v>
      </c>
    </row>
    <row r="63" spans="1:13">
      <c r="A63" t="s">
        <v>532</v>
      </c>
      <c r="B63" s="13">
        <f t="shared" ref="B63:K63" si="20">(B33*$B$137/B$137)/1000</f>
        <v>482.22640267381024</v>
      </c>
      <c r="C63" s="13">
        <f t="shared" si="20"/>
        <v>493.75695837346683</v>
      </c>
      <c r="D63" s="13">
        <f t="shared" si="20"/>
        <v>505.19999529971926</v>
      </c>
      <c r="E63" s="13">
        <f t="shared" si="20"/>
        <v>517.9863723069883</v>
      </c>
      <c r="F63" s="13">
        <f t="shared" si="20"/>
        <v>531.17700314320439</v>
      </c>
      <c r="G63" s="13">
        <f t="shared" si="20"/>
        <v>544.20116834119256</v>
      </c>
      <c r="H63" s="13">
        <f t="shared" si="20"/>
        <v>557.63794102488896</v>
      </c>
      <c r="I63" s="13">
        <f t="shared" si="20"/>
        <v>571.55398881875772</v>
      </c>
      <c r="J63" s="13">
        <f t="shared" si="20"/>
        <v>585.83660330362102</v>
      </c>
      <c r="K63" s="13">
        <f t="shared" si="20"/>
        <v>600.49567766855409</v>
      </c>
    </row>
    <row r="64" spans="1:13">
      <c r="A64" t="s">
        <v>533</v>
      </c>
      <c r="B64" s="13">
        <f t="shared" ref="B64:K64" si="21">(B34*$B$137/B$137)/1000</f>
        <v>482.22640267381024</v>
      </c>
      <c r="C64" s="13">
        <f t="shared" si="21"/>
        <v>490.40884263266247</v>
      </c>
      <c r="D64" s="13">
        <f t="shared" si="21"/>
        <v>499.70994606861069</v>
      </c>
      <c r="E64" s="13">
        <f t="shared" si="21"/>
        <v>508.87489228364439</v>
      </c>
      <c r="F64" s="13">
        <f t="shared" si="21"/>
        <v>517.62589167656517</v>
      </c>
      <c r="G64" s="13">
        <f t="shared" si="21"/>
        <v>526.53043458622869</v>
      </c>
      <c r="H64" s="13">
        <f t="shared" si="21"/>
        <v>535.74497425866923</v>
      </c>
      <c r="I64" s="13">
        <f t="shared" si="21"/>
        <v>545.50160644370089</v>
      </c>
      <c r="J64" s="13">
        <f t="shared" si="21"/>
        <v>555.42552922481207</v>
      </c>
      <c r="K64" s="13">
        <f t="shared" si="21"/>
        <v>565.53033134901784</v>
      </c>
    </row>
    <row r="65" spans="1:12">
      <c r="A65" t="s">
        <v>540</v>
      </c>
      <c r="B65" s="13">
        <f t="shared" ref="B65:K65" si="22">(B35*$B$137/B$137)/1000</f>
        <v>508.18697344884799</v>
      </c>
      <c r="C65" s="13">
        <f t="shared" si="22"/>
        <v>520.37329081357882</v>
      </c>
      <c r="D65" s="13">
        <f t="shared" si="22"/>
        <v>532.38393985920095</v>
      </c>
      <c r="E65" s="13">
        <f t="shared" si="22"/>
        <v>545.86484609304262</v>
      </c>
      <c r="F65" s="13">
        <f t="shared" si="22"/>
        <v>559.75804752723616</v>
      </c>
      <c r="G65" s="13">
        <f t="shared" si="22"/>
        <v>573.50255176276016</v>
      </c>
      <c r="H65" s="13">
        <f t="shared" si="22"/>
        <v>587.65938553100352</v>
      </c>
      <c r="I65" s="13">
        <f t="shared" si="22"/>
        <v>602.32585949292104</v>
      </c>
      <c r="J65" s="13">
        <f t="shared" si="22"/>
        <v>617.37771944680367</v>
      </c>
      <c r="K65" s="13">
        <f t="shared" si="22"/>
        <v>632.82533245289926</v>
      </c>
      <c r="L65" s="13"/>
    </row>
    <row r="66" spans="1:12">
      <c r="A66" t="s">
        <v>541</v>
      </c>
      <c r="B66" s="13">
        <f t="shared" ref="B66:K66" si="23">(B36*$B$137/B$137)/1000</f>
        <v>508.18697344884799</v>
      </c>
      <c r="C66" s="13">
        <f t="shared" si="23"/>
        <v>516.82344173823833</v>
      </c>
      <c r="D66" s="13">
        <f t="shared" si="23"/>
        <v>526.63645772162465</v>
      </c>
      <c r="E66" s="13">
        <f t="shared" si="23"/>
        <v>536.30616348617718</v>
      </c>
      <c r="F66" s="13">
        <f t="shared" si="23"/>
        <v>545.53522820118508</v>
      </c>
      <c r="G66" s="13">
        <f t="shared" si="23"/>
        <v>554.92621254646053</v>
      </c>
      <c r="H66" s="13">
        <f t="shared" si="23"/>
        <v>564.6453129567933</v>
      </c>
      <c r="I66" s="13">
        <f t="shared" si="23"/>
        <v>574.93705329943816</v>
      </c>
      <c r="J66" s="13">
        <f t="shared" si="23"/>
        <v>585.40604219639431</v>
      </c>
      <c r="K66" s="13">
        <f t="shared" si="23"/>
        <v>596.06605063364964</v>
      </c>
      <c r="L66" s="13"/>
    </row>
    <row r="67" spans="1:12">
      <c r="A67" s="382" t="s">
        <v>569</v>
      </c>
      <c r="B67" s="13"/>
      <c r="C67" s="13"/>
      <c r="D67" s="13"/>
      <c r="E67" s="13"/>
      <c r="F67" s="13"/>
      <c r="G67" s="13"/>
      <c r="H67" s="13"/>
      <c r="I67" s="13"/>
      <c r="J67" s="13"/>
      <c r="K67" s="13"/>
      <c r="L67" s="13"/>
    </row>
    <row r="68" spans="1:12">
      <c r="A68" s="264" t="s">
        <v>501</v>
      </c>
      <c r="B68" s="13">
        <f t="shared" ref="B68:B75" si="24">(B38*$B$137/B$137)/1000</f>
        <v>504.92593318317114</v>
      </c>
      <c r="C68" s="13">
        <f t="shared" ref="C68:K68" si="25">(C38*$B$137/C$137)/1000</f>
        <v>517.09022742272623</v>
      </c>
      <c r="D68" s="13">
        <f t="shared" si="25"/>
        <v>529.1614258179734</v>
      </c>
      <c r="E68" s="13">
        <f t="shared" si="25"/>
        <v>542.64642317232494</v>
      </c>
      <c r="F68" s="13">
        <f t="shared" si="25"/>
        <v>556.55311199218181</v>
      </c>
      <c r="G68" s="13">
        <f t="shared" si="25"/>
        <v>570.2858392326691</v>
      </c>
      <c r="H68" s="13">
        <f t="shared" si="25"/>
        <v>584.45557153491359</v>
      </c>
      <c r="I68" s="13">
        <f t="shared" si="25"/>
        <v>599.12871257203221</v>
      </c>
      <c r="J68" s="13">
        <f t="shared" si="25"/>
        <v>614.18833902500262</v>
      </c>
      <c r="K68" s="13">
        <f t="shared" si="25"/>
        <v>629.64496139575124</v>
      </c>
      <c r="L68" s="13"/>
    </row>
    <row r="69" spans="1:12">
      <c r="A69" t="s">
        <v>502</v>
      </c>
      <c r="B69" s="13">
        <f t="shared" si="24"/>
        <v>504.92593318317114</v>
      </c>
      <c r="C69" s="13">
        <f t="shared" ref="C69:K69" si="26">(C39*$B$137/C$137)/1000</f>
        <v>513.56815530043616</v>
      </c>
      <c r="D69" s="13">
        <f t="shared" si="26"/>
        <v>523.29349555146734</v>
      </c>
      <c r="E69" s="13">
        <f t="shared" si="26"/>
        <v>532.93330749603376</v>
      </c>
      <c r="F69" s="13">
        <f t="shared" si="26"/>
        <v>542.07642896136724</v>
      </c>
      <c r="G69" s="13">
        <f t="shared" si="26"/>
        <v>551.34538442245434</v>
      </c>
      <c r="H69" s="13">
        <f t="shared" si="26"/>
        <v>560.93601363595383</v>
      </c>
      <c r="I69" s="13">
        <f t="shared" si="26"/>
        <v>571.1242560519363</v>
      </c>
      <c r="J69" s="13">
        <f t="shared" si="26"/>
        <v>581.49666292937081</v>
      </c>
      <c r="K69" s="13">
        <f t="shared" si="26"/>
        <v>592.05645227349203</v>
      </c>
      <c r="L69" s="13"/>
    </row>
    <row r="70" spans="1:12" s="401" customFormat="1">
      <c r="A70" s="401" t="s">
        <v>530</v>
      </c>
      <c r="B70" s="213">
        <f t="shared" si="24"/>
        <v>532.2559803868844</v>
      </c>
      <c r="C70" s="213">
        <f t="shared" ref="C70:K70" si="27">(C40*$B$137/C$137)/1000</f>
        <v>545.11391952564077</v>
      </c>
      <c r="D70" s="213">
        <f t="shared" si="27"/>
        <v>557.78579144611456</v>
      </c>
      <c r="E70" s="213">
        <f t="shared" si="27"/>
        <v>572.00514888204827</v>
      </c>
      <c r="F70" s="213">
        <f t="shared" si="27"/>
        <v>586.6547654165297</v>
      </c>
      <c r="G70" s="213">
        <f t="shared" si="27"/>
        <v>601.14937183322013</v>
      </c>
      <c r="H70" s="213">
        <f t="shared" si="27"/>
        <v>616.08088833698787</v>
      </c>
      <c r="I70" s="213">
        <f t="shared" si="27"/>
        <v>631.54791499104306</v>
      </c>
      <c r="J70" s="213">
        <f t="shared" si="27"/>
        <v>647.42141379390398</v>
      </c>
      <c r="K70" s="213">
        <f t="shared" si="27"/>
        <v>663.7124010449802</v>
      </c>
      <c r="L70" s="213"/>
    </row>
    <row r="71" spans="1:12">
      <c r="A71" t="s">
        <v>531</v>
      </c>
      <c r="B71" s="13">
        <f t="shared" si="24"/>
        <v>532.2559803868844</v>
      </c>
      <c r="C71" s="13">
        <f t="shared" ref="C71:K71" si="28">(C41*$B$137/C$137)/1000</f>
        <v>541.37875617804059</v>
      </c>
      <c r="D71" s="13">
        <f t="shared" si="28"/>
        <v>551.64627502730355</v>
      </c>
      <c r="E71" s="13">
        <f t="shared" si="28"/>
        <v>561.82009292277496</v>
      </c>
      <c r="F71" s="13">
        <f t="shared" si="28"/>
        <v>571.46915410344104</v>
      </c>
      <c r="G71" s="13">
        <f t="shared" si="28"/>
        <v>581.25294685926872</v>
      </c>
      <c r="H71" s="13">
        <f t="shared" si="28"/>
        <v>591.37782185254173</v>
      </c>
      <c r="I71" s="13">
        <f t="shared" si="28"/>
        <v>602.13255007869191</v>
      </c>
      <c r="J71" s="13">
        <f t="shared" si="28"/>
        <v>613.08203812128806</v>
      </c>
      <c r="K71" s="13">
        <f t="shared" si="28"/>
        <v>624.22970385409121</v>
      </c>
      <c r="L71" s="13"/>
    </row>
    <row r="72" spans="1:12">
      <c r="A72" t="s">
        <v>532</v>
      </c>
      <c r="B72" s="13">
        <f t="shared" si="24"/>
        <v>486.13101569574746</v>
      </c>
      <c r="C72" s="13">
        <f t="shared" ref="C72:K72" si="29">(C42*$B$137/C$137)/1000</f>
        <v>497.82601193509271</v>
      </c>
      <c r="D72" s="13">
        <f t="shared" si="29"/>
        <v>509.422471465103</v>
      </c>
      <c r="E72" s="13">
        <f t="shared" si="29"/>
        <v>522.38159684377456</v>
      </c>
      <c r="F72" s="13">
        <f t="shared" si="29"/>
        <v>535.75966302580196</v>
      </c>
      <c r="G72" s="13">
        <f t="shared" si="29"/>
        <v>548.96091595395853</v>
      </c>
      <c r="H72" s="13">
        <f t="shared" si="29"/>
        <v>562.58264670904543</v>
      </c>
      <c r="I72" s="13">
        <f t="shared" si="29"/>
        <v>576.69058615142717</v>
      </c>
      <c r="J72" s="13">
        <f t="shared" si="29"/>
        <v>591.16975001793776</v>
      </c>
      <c r="K72" s="13">
        <f t="shared" si="29"/>
        <v>606.03022193825893</v>
      </c>
      <c r="L72" s="13"/>
    </row>
    <row r="73" spans="1:12">
      <c r="A73" s="6" t="s">
        <v>533</v>
      </c>
      <c r="B73" s="13">
        <f t="shared" si="24"/>
        <v>486.13101569574746</v>
      </c>
      <c r="C73" s="13">
        <f t="shared" ref="C73:K73" si="30">(C43*$B$137/C$137)/1000</f>
        <v>494.44663884476705</v>
      </c>
      <c r="D73" s="13">
        <f t="shared" si="30"/>
        <v>503.80312469926241</v>
      </c>
      <c r="E73" s="13">
        <f t="shared" si="30"/>
        <v>513.07991714090008</v>
      </c>
      <c r="F73" s="13">
        <f t="shared" si="30"/>
        <v>521.87987538955917</v>
      </c>
      <c r="G73" s="13">
        <f t="shared" si="30"/>
        <v>530.79921657134105</v>
      </c>
      <c r="H73" s="13">
        <f t="shared" si="30"/>
        <v>540.02724388289596</v>
      </c>
      <c r="I73" s="13">
        <f t="shared" si="30"/>
        <v>549.83112927982882</v>
      </c>
      <c r="J73" s="13">
        <f t="shared" si="30"/>
        <v>559.8121763486547</v>
      </c>
      <c r="K73" s="13">
        <f t="shared" si="30"/>
        <v>569.97347817675802</v>
      </c>
      <c r="L73" s="13"/>
    </row>
    <row r="74" spans="1:12">
      <c r="A74" s="6" t="s">
        <v>540</v>
      </c>
      <c r="B74" s="13">
        <f t="shared" si="24"/>
        <v>513.4602173149068</v>
      </c>
      <c r="C74" s="13">
        <f t="shared" ref="C74:K74" si="31">(C44*$B$137/C$137)/1000</f>
        <v>525.84882793928352</v>
      </c>
      <c r="D74" s="13">
        <f t="shared" si="31"/>
        <v>538.04593583576616</v>
      </c>
      <c r="E74" s="13">
        <f t="shared" si="31"/>
        <v>551.73939018652607</v>
      </c>
      <c r="F74" s="13">
        <f t="shared" si="31"/>
        <v>565.86034808641591</v>
      </c>
      <c r="G74" s="13">
        <f t="shared" si="31"/>
        <v>579.82344667617917</v>
      </c>
      <c r="H74" s="13">
        <f t="shared" si="31"/>
        <v>594.20692870807125</v>
      </c>
      <c r="I74" s="13">
        <f t="shared" si="31"/>
        <v>609.10871725107916</v>
      </c>
      <c r="J74" s="13">
        <f t="shared" si="31"/>
        <v>624.40171567697155</v>
      </c>
      <c r="K74" s="13">
        <f t="shared" si="31"/>
        <v>640.0965133703354</v>
      </c>
      <c r="L74" s="13"/>
    </row>
    <row r="75" spans="1:12">
      <c r="A75" s="6" t="s">
        <v>541</v>
      </c>
      <c r="B75" s="13">
        <f t="shared" si="24"/>
        <v>513.4602173149068</v>
      </c>
      <c r="C75" s="13">
        <f t="shared" ref="C75:K75" si="32">(C45*$B$137/C$137)/1000</f>
        <v>522.25667544547434</v>
      </c>
      <c r="D75" s="13">
        <f t="shared" si="32"/>
        <v>532.15543207043459</v>
      </c>
      <c r="E75" s="13">
        <f t="shared" si="32"/>
        <v>541.96655866299182</v>
      </c>
      <c r="F75" s="13">
        <f t="shared" si="32"/>
        <v>551.27294130067241</v>
      </c>
      <c r="G75" s="13">
        <f t="shared" si="32"/>
        <v>560.70764800408904</v>
      </c>
      <c r="H75" s="13">
        <f t="shared" si="32"/>
        <v>570.47035636349574</v>
      </c>
      <c r="I75" s="13">
        <f t="shared" si="32"/>
        <v>580.84115128044482</v>
      </c>
      <c r="J75" s="13">
        <f t="shared" si="32"/>
        <v>591.39973783997493</v>
      </c>
      <c r="K75" s="13">
        <f t="shared" si="32"/>
        <v>602.14941128959276</v>
      </c>
      <c r="L75" s="13"/>
    </row>
    <row r="76" spans="1:12">
      <c r="B76" s="13"/>
      <c r="C76" s="13"/>
      <c r="D76" s="13"/>
      <c r="E76" s="13"/>
      <c r="F76" s="13"/>
      <c r="G76" s="13"/>
      <c r="H76" s="13"/>
      <c r="I76" s="13"/>
      <c r="J76" s="13"/>
      <c r="K76" s="13"/>
    </row>
    <row r="77" spans="1:12">
      <c r="A77" t="s">
        <v>313</v>
      </c>
      <c r="B77" s="13">
        <f t="shared" ref="B77:K77" si="33">(B3*$B$137/B$137)/1000</f>
        <v>517.00626873315332</v>
      </c>
      <c r="C77" s="13">
        <f t="shared" si="33"/>
        <v>532.22638774409143</v>
      </c>
      <c r="D77" s="13">
        <f t="shared" si="33"/>
        <v>547.38412660877236</v>
      </c>
      <c r="E77" s="13">
        <f t="shared" si="33"/>
        <v>564.1990598959635</v>
      </c>
      <c r="F77" s="13">
        <f t="shared" si="33"/>
        <v>581.7799329370464</v>
      </c>
      <c r="G77" s="13">
        <f t="shared" si="33"/>
        <v>599.24384041849419</v>
      </c>
      <c r="H77" s="13">
        <f t="shared" si="33"/>
        <v>617.25133120662417</v>
      </c>
      <c r="I77" s="13">
        <f t="shared" si="33"/>
        <v>635.9210160515571</v>
      </c>
      <c r="J77" s="13">
        <f t="shared" si="33"/>
        <v>655.17560001541926</v>
      </c>
      <c r="K77" s="13">
        <f t="shared" si="33"/>
        <v>675.03390462595405</v>
      </c>
    </row>
    <row r="78" spans="1:12">
      <c r="A78" t="s">
        <v>504</v>
      </c>
      <c r="B78" s="13"/>
      <c r="C78" s="13">
        <f>C77-$B77</f>
        <v>15.220119010938106</v>
      </c>
      <c r="D78" s="13">
        <f t="shared" ref="D78:K78" si="34">D77-$B77</f>
        <v>30.377857875619043</v>
      </c>
      <c r="E78" s="13">
        <f t="shared" si="34"/>
        <v>47.192791162810181</v>
      </c>
      <c r="F78" s="13">
        <f t="shared" si="34"/>
        <v>64.773664203893077</v>
      </c>
      <c r="G78" s="13">
        <f t="shared" si="34"/>
        <v>82.237571685340868</v>
      </c>
      <c r="H78" s="13">
        <f t="shared" si="34"/>
        <v>100.24506247347085</v>
      </c>
      <c r="I78" s="13">
        <f t="shared" si="34"/>
        <v>118.91474731840378</v>
      </c>
      <c r="J78" s="13">
        <f t="shared" si="34"/>
        <v>138.16933128226594</v>
      </c>
      <c r="K78" s="13">
        <f t="shared" si="34"/>
        <v>158.02763589280073</v>
      </c>
      <c r="L78" s="88">
        <f>SUM(C78:K78)</f>
        <v>755.15878090554259</v>
      </c>
    </row>
    <row r="79" spans="1:12">
      <c r="A79" t="s">
        <v>211</v>
      </c>
      <c r="B79" s="13">
        <f t="shared" ref="B79:K79" si="35">(B4*$B$137/B$137)/1000</f>
        <v>204.38645917530496</v>
      </c>
      <c r="C79" s="13">
        <f t="shared" si="35"/>
        <v>213.03984440117503</v>
      </c>
      <c r="D79" s="13">
        <f t="shared" si="35"/>
        <v>221.61954894380736</v>
      </c>
      <c r="E79" s="13">
        <f t="shared" si="35"/>
        <v>231.087755830562</v>
      </c>
      <c r="F79" s="13">
        <f t="shared" si="35"/>
        <v>241.23627884452279</v>
      </c>
      <c r="G79" s="13">
        <f t="shared" si="35"/>
        <v>251.25119982434938</v>
      </c>
      <c r="H79" s="13">
        <f t="shared" si="35"/>
        <v>261.66272203814856</v>
      </c>
      <c r="I79" s="13">
        <f t="shared" si="35"/>
        <v>272.76308045193264</v>
      </c>
      <c r="J79" s="13">
        <f t="shared" si="35"/>
        <v>284.35102903783309</v>
      </c>
      <c r="K79" s="13">
        <f t="shared" si="35"/>
        <v>296.44856704474068</v>
      </c>
      <c r="L79" s="88"/>
    </row>
    <row r="80" spans="1:12">
      <c r="A80" t="s">
        <v>443</v>
      </c>
      <c r="B80" s="13">
        <f t="shared" ref="B80:K80" si="36">(B5*$B$137/B$137)/1000</f>
        <v>111.2408081557062</v>
      </c>
      <c r="C80" s="13">
        <f t="shared" si="36"/>
        <v>116.98155558815911</v>
      </c>
      <c r="D80" s="13">
        <f t="shared" si="36"/>
        <v>123.01330147361267</v>
      </c>
      <c r="E80" s="13">
        <f t="shared" si="36"/>
        <v>129.15654865976725</v>
      </c>
      <c r="F80" s="13">
        <f t="shared" si="36"/>
        <v>135.30761347718268</v>
      </c>
      <c r="G80" s="13">
        <f t="shared" si="36"/>
        <v>142.01707159618758</v>
      </c>
      <c r="H80" s="13">
        <f t="shared" si="36"/>
        <v>148.97115070870217</v>
      </c>
      <c r="I80" s="13">
        <f t="shared" si="36"/>
        <v>156.22991824294638</v>
      </c>
      <c r="J80" s="13">
        <f t="shared" si="36"/>
        <v>163.84237644726687</v>
      </c>
      <c r="K80" s="13">
        <f t="shared" si="36"/>
        <v>171.82575925146079</v>
      </c>
      <c r="L80" s="88"/>
    </row>
    <row r="81" spans="1:12">
      <c r="A81" t="s">
        <v>444</v>
      </c>
      <c r="B81" s="13">
        <f t="shared" ref="B81:K81" si="37">(B6*$B$137/B$137)/1000</f>
        <v>71.47560123184374</v>
      </c>
      <c r="C81" s="13">
        <f t="shared" si="37"/>
        <v>73.631664255180027</v>
      </c>
      <c r="D81" s="13">
        <f t="shared" si="37"/>
        <v>75.418965367320553</v>
      </c>
      <c r="E81" s="13">
        <f t="shared" si="37"/>
        <v>77.935457478069338</v>
      </c>
      <c r="F81" s="13">
        <f t="shared" si="37"/>
        <v>81.115468407096145</v>
      </c>
      <c r="G81" s="13">
        <f t="shared" si="37"/>
        <v>83.55670075583798</v>
      </c>
      <c r="H81" s="13">
        <f t="shared" si="37"/>
        <v>86.100489135455305</v>
      </c>
      <c r="I81" s="13">
        <f t="shared" si="37"/>
        <v>89.009077708772736</v>
      </c>
      <c r="J81" s="13">
        <f t="shared" si="37"/>
        <v>92.015922256867754</v>
      </c>
      <c r="K81" s="13">
        <f t="shared" si="37"/>
        <v>95.124341996720077</v>
      </c>
      <c r="L81" s="88"/>
    </row>
    <row r="82" spans="1:12">
      <c r="A82" s="6" t="s">
        <v>445</v>
      </c>
      <c r="B82" s="13">
        <f t="shared" ref="B82:K82" si="38">(B7*$B$137/B$137)/1000</f>
        <v>11.694000000000001</v>
      </c>
      <c r="C82" s="13">
        <f t="shared" si="38"/>
        <v>12.217706471086036</v>
      </c>
      <c r="D82" s="13">
        <f t="shared" si="38"/>
        <v>12.740506749360826</v>
      </c>
      <c r="E82" s="13">
        <f t="shared" si="38"/>
        <v>13.30224145397837</v>
      </c>
      <c r="F82" s="13">
        <f t="shared" si="38"/>
        <v>13.870941590575976</v>
      </c>
      <c r="G82" s="13">
        <f t="shared" si="38"/>
        <v>14.491166422702351</v>
      </c>
      <c r="H82" s="13">
        <f t="shared" si="38"/>
        <v>15.144239783916051</v>
      </c>
      <c r="I82" s="13">
        <f t="shared" si="38"/>
        <v>15.813276208991885</v>
      </c>
      <c r="J82" s="13">
        <f t="shared" si="38"/>
        <v>16.511869069020221</v>
      </c>
      <c r="K82" s="13">
        <f t="shared" si="38"/>
        <v>17.241324096864545</v>
      </c>
      <c r="L82" s="88"/>
    </row>
    <row r="83" spans="1:12">
      <c r="A83" s="6" t="s">
        <v>446</v>
      </c>
      <c r="B83" s="13">
        <f t="shared" ref="B83:J83" si="39">(B8*$B$137/B$137)/1000</f>
        <v>9.9760497877549987</v>
      </c>
      <c r="C83" s="13">
        <f t="shared" si="39"/>
        <v>10.208918086749843</v>
      </c>
      <c r="D83" s="13">
        <f t="shared" si="39"/>
        <v>10.446775353513292</v>
      </c>
      <c r="E83" s="13">
        <f t="shared" si="39"/>
        <v>10.693508238747023</v>
      </c>
      <c r="F83" s="13">
        <f t="shared" si="39"/>
        <v>10.942255369667926</v>
      </c>
      <c r="G83" s="13">
        <f t="shared" si="39"/>
        <v>11.186261049621448</v>
      </c>
      <c r="H83" s="13">
        <f t="shared" si="39"/>
        <v>11.44684241007503</v>
      </c>
      <c r="I83" s="13">
        <f t="shared" si="39"/>
        <v>11.710808291221605</v>
      </c>
      <c r="J83" s="13">
        <f t="shared" si="39"/>
        <v>11.980861264678298</v>
      </c>
      <c r="K83" s="13">
        <f>(K8*$B$137/K$137)/1000</f>
        <v>12.257141699695218</v>
      </c>
      <c r="L83" s="88"/>
    </row>
    <row r="84" spans="1:12">
      <c r="A84" t="s">
        <v>507</v>
      </c>
      <c r="B84" s="13">
        <f t="shared" ref="B84:K84" si="40">(B12*$B$137/B$137)/1000</f>
        <v>222.47505800798882</v>
      </c>
      <c r="C84" s="13">
        <f t="shared" si="40"/>
        <v>227.2569370318345</v>
      </c>
      <c r="D84" s="13">
        <f t="shared" si="40"/>
        <v>232.14104079147296</v>
      </c>
      <c r="E84" s="13">
        <f t="shared" si="40"/>
        <v>237.15488295459301</v>
      </c>
      <c r="F84" s="13">
        <f t="shared" si="40"/>
        <v>242.25484304451166</v>
      </c>
      <c r="G84" s="13">
        <f t="shared" si="40"/>
        <v>247.47270681678842</v>
      </c>
      <c r="H84" s="13">
        <f t="shared" si="40"/>
        <v>252.69271874807427</v>
      </c>
      <c r="I84" s="13">
        <f t="shared" si="40"/>
        <v>258.09788203354196</v>
      </c>
      <c r="J84" s="13">
        <f t="shared" si="40"/>
        <v>263.62073746827417</v>
      </c>
      <c r="K84" s="13">
        <f t="shared" si="40"/>
        <v>269.26388450373929</v>
      </c>
      <c r="L84" s="88"/>
    </row>
    <row r="85" spans="1:12">
      <c r="A85" t="s">
        <v>508</v>
      </c>
      <c r="B85" s="13"/>
      <c r="C85" s="13">
        <f>C84-$B84</f>
        <v>4.7818790238456756</v>
      </c>
      <c r="D85" s="13">
        <f t="shared" ref="D85:K85" si="41">D84-$B84</f>
        <v>9.6659827834841394</v>
      </c>
      <c r="E85" s="13">
        <f t="shared" si="41"/>
        <v>14.679824946604185</v>
      </c>
      <c r="F85" s="13">
        <f t="shared" si="41"/>
        <v>19.779785036522838</v>
      </c>
      <c r="G85" s="13">
        <f t="shared" si="41"/>
        <v>24.997648808799596</v>
      </c>
      <c r="H85" s="13">
        <f t="shared" si="41"/>
        <v>30.217660740085449</v>
      </c>
      <c r="I85" s="13">
        <f t="shared" si="41"/>
        <v>35.622824025553143</v>
      </c>
      <c r="J85" s="13">
        <f t="shared" si="41"/>
        <v>41.145679460285351</v>
      </c>
      <c r="K85" s="13">
        <f t="shared" si="41"/>
        <v>46.78882649575047</v>
      </c>
      <c r="L85" s="88">
        <f>SUM(C85:K85)</f>
        <v>227.68011132093085</v>
      </c>
    </row>
    <row r="86" spans="1:12">
      <c r="A86" s="6" t="s">
        <v>435</v>
      </c>
      <c r="B86" s="13">
        <f t="shared" ref="B86:K86" si="42">(B9*$B$137/B$137)/1000</f>
        <v>44.873047061021509</v>
      </c>
      <c r="C86" s="13">
        <f t="shared" si="42"/>
        <v>46.3078728104419</v>
      </c>
      <c r="D86" s="13">
        <f t="shared" si="42"/>
        <v>47.539422553825069</v>
      </c>
      <c r="E86" s="13">
        <f t="shared" si="42"/>
        <v>49.190579035503191</v>
      </c>
      <c r="F86" s="13">
        <f t="shared" si="42"/>
        <v>51.210027930114876</v>
      </c>
      <c r="G86" s="13">
        <f t="shared" si="42"/>
        <v>52.847577487083683</v>
      </c>
      <c r="H86" s="13">
        <f t="shared" si="42"/>
        <v>54.557148032975277</v>
      </c>
      <c r="I86" s="13">
        <f t="shared" si="42"/>
        <v>56.474969563344018</v>
      </c>
      <c r="J86" s="13">
        <f t="shared" si="42"/>
        <v>58.460882520012085</v>
      </c>
      <c r="K86" s="13">
        <f t="shared" si="42"/>
        <v>60.517333123040309</v>
      </c>
      <c r="L86" s="88"/>
    </row>
    <row r="87" spans="1:12">
      <c r="A87" s="6" t="s">
        <v>509</v>
      </c>
      <c r="B87" s="13"/>
      <c r="C87" s="13">
        <f>C86-$B86</f>
        <v>1.4348257494203907</v>
      </c>
      <c r="D87" s="13">
        <f t="shared" ref="D87:K87" si="43">D86-$B86</f>
        <v>2.6663754928035601</v>
      </c>
      <c r="E87" s="13">
        <f t="shared" si="43"/>
        <v>4.3175319744816818</v>
      </c>
      <c r="F87" s="13">
        <f t="shared" si="43"/>
        <v>6.3369808690933667</v>
      </c>
      <c r="G87" s="13">
        <f t="shared" si="43"/>
        <v>7.9745304260621737</v>
      </c>
      <c r="H87" s="13">
        <f t="shared" si="43"/>
        <v>9.6841009719537681</v>
      </c>
      <c r="I87" s="13">
        <f t="shared" si="43"/>
        <v>11.601922502322509</v>
      </c>
      <c r="J87" s="13">
        <f t="shared" si="43"/>
        <v>13.587835458990575</v>
      </c>
      <c r="K87" s="13">
        <f t="shared" si="43"/>
        <v>15.6442860620188</v>
      </c>
      <c r="L87" s="88">
        <f>SUM(C87:K87)</f>
        <v>73.248389507146825</v>
      </c>
    </row>
    <row r="88" spans="1:12">
      <c r="A88" s="6" t="s">
        <v>510</v>
      </c>
      <c r="B88" s="13">
        <f t="shared" ref="B88:K88" si="44">(B16*$B$137/B$137)/1000</f>
        <v>45.271704488838061</v>
      </c>
      <c r="C88" s="13">
        <f t="shared" si="44"/>
        <v>45.621733500639955</v>
      </c>
      <c r="D88" s="13">
        <f t="shared" si="44"/>
        <v>46.084114319666917</v>
      </c>
      <c r="E88" s="13">
        <f t="shared" si="44"/>
        <v>46.765842075305372</v>
      </c>
      <c r="F88" s="13">
        <f t="shared" si="44"/>
        <v>47.07878311789716</v>
      </c>
      <c r="G88" s="13">
        <f t="shared" si="44"/>
        <v>47.672356290272745</v>
      </c>
      <c r="H88" s="13">
        <f t="shared" si="44"/>
        <v>48.338742387426031</v>
      </c>
      <c r="I88" s="13">
        <f t="shared" si="44"/>
        <v>48.585084002738526</v>
      </c>
      <c r="J88" s="13">
        <f t="shared" si="44"/>
        <v>48.742950989299928</v>
      </c>
      <c r="K88" s="13">
        <f t="shared" si="44"/>
        <v>48.80411995443373</v>
      </c>
      <c r="L88" s="88"/>
    </row>
    <row r="89" spans="1:12">
      <c r="A89" s="6"/>
      <c r="B89" s="13"/>
      <c r="C89" s="13"/>
      <c r="D89" s="13"/>
      <c r="E89" s="13"/>
      <c r="F89" s="13"/>
      <c r="G89" s="13"/>
      <c r="H89" s="13"/>
      <c r="I89" s="13"/>
      <c r="J89" s="13"/>
      <c r="K89" s="13"/>
      <c r="L89" s="88"/>
    </row>
    <row r="90" spans="1:12">
      <c r="A90" s="384" t="s">
        <v>537</v>
      </c>
      <c r="B90" s="13"/>
      <c r="C90" s="13"/>
      <c r="D90" s="13"/>
      <c r="E90" s="13"/>
      <c r="F90" s="13"/>
      <c r="G90" s="13"/>
      <c r="H90" s="13"/>
      <c r="I90" s="13"/>
      <c r="J90" s="13"/>
      <c r="K90" s="13"/>
      <c r="L90" s="88"/>
    </row>
    <row r="91" spans="1:12">
      <c r="A91" t="s">
        <v>501</v>
      </c>
      <c r="B91" s="13">
        <f t="shared" ref="B91:K91" si="45">(B48-B3/1000)</f>
        <v>-15.849349648660393</v>
      </c>
      <c r="C91" s="13">
        <f t="shared" si="45"/>
        <v>-32.932287119217108</v>
      </c>
      <c r="D91" s="13">
        <f t="shared" si="45"/>
        <v>-51.220525346750946</v>
      </c>
      <c r="E91" s="13">
        <f t="shared" si="45"/>
        <v>-70.919163272467813</v>
      </c>
      <c r="F91" s="13">
        <f t="shared" si="45"/>
        <v>-92.603161387054001</v>
      </c>
      <c r="G91" s="13">
        <f t="shared" si="45"/>
        <v>-115.74330378367392</v>
      </c>
      <c r="H91" s="13">
        <f t="shared" si="45"/>
        <v>-140.3224801829831</v>
      </c>
      <c r="I91" s="13">
        <f t="shared" si="45"/>
        <v>-166.90739688978613</v>
      </c>
      <c r="J91" s="13">
        <f t="shared" si="45"/>
        <v>-195.47784541620422</v>
      </c>
      <c r="K91" s="13">
        <f t="shared" si="45"/>
        <v>-226.16125676598574</v>
      </c>
      <c r="L91" s="88">
        <f>SUM(C91:K91)</f>
        <v>-1092.287420164123</v>
      </c>
    </row>
    <row r="92" spans="1:12">
      <c r="A92" t="s">
        <v>535</v>
      </c>
      <c r="B92" s="13">
        <f t="shared" ref="B92:K92" si="46">(B49-B4/1000)</f>
        <v>6.3800000000924229E-4</v>
      </c>
      <c r="C92" s="13">
        <f t="shared" si="46"/>
        <v>-6.6507892710642409</v>
      </c>
      <c r="D92" s="13">
        <f t="shared" si="46"/>
        <v>-13.549671402444972</v>
      </c>
      <c r="E92" s="13">
        <f t="shared" si="46"/>
        <v>-21.572721555902689</v>
      </c>
      <c r="F92" s="13">
        <f t="shared" si="46"/>
        <v>-30.882180428243117</v>
      </c>
      <c r="G92" s="13">
        <f t="shared" si="46"/>
        <v>-40.459372254002773</v>
      </c>
      <c r="H92" s="13">
        <f t="shared" si="46"/>
        <v>-50.741620688995482</v>
      </c>
      <c r="I92" s="13">
        <f t="shared" si="46"/>
        <v>-62.432688119824718</v>
      </c>
      <c r="J92" s="13">
        <f t="shared" si="46"/>
        <v>-75.242818223087966</v>
      </c>
      <c r="K92" s="13">
        <f t="shared" si="46"/>
        <v>-89.263246886072238</v>
      </c>
      <c r="L92" s="88">
        <f t="shared" ref="L92:L101" si="47">SUM(C92:K92)</f>
        <v>-390.7951088296382</v>
      </c>
    </row>
    <row r="93" spans="1:12">
      <c r="A93" t="s">
        <v>443</v>
      </c>
      <c r="B93" s="13">
        <f t="shared" ref="B93:K93" si="48">(B50-B5/1000)</f>
        <v>0</v>
      </c>
      <c r="C93" s="13">
        <f t="shared" si="48"/>
        <v>-3.8303724481473722</v>
      </c>
      <c r="D93" s="13">
        <f t="shared" si="48"/>
        <v>-8.1392430743876929</v>
      </c>
      <c r="E93" s="13">
        <f t="shared" si="48"/>
        <v>-12.668324466273148</v>
      </c>
      <c r="F93" s="13">
        <f t="shared" si="48"/>
        <v>-17.488348729197554</v>
      </c>
      <c r="G93" s="13">
        <f t="shared" si="48"/>
        <v>-23.140231523621253</v>
      </c>
      <c r="H93" s="13">
        <f t="shared" si="48"/>
        <v>-29.20855761053059</v>
      </c>
      <c r="I93" s="13">
        <f t="shared" si="48"/>
        <v>-35.965993271806951</v>
      </c>
      <c r="J93" s="13">
        <f t="shared" si="48"/>
        <v>-43.439415786674545</v>
      </c>
      <c r="K93" s="13">
        <f t="shared" si="48"/>
        <v>-51.692270192825532</v>
      </c>
      <c r="L93" s="88">
        <f t="shared" si="47"/>
        <v>-225.57275710346462</v>
      </c>
    </row>
    <row r="94" spans="1:12">
      <c r="A94" t="s">
        <v>444</v>
      </c>
      <c r="B94" s="13">
        <f t="shared" ref="B94:K94" si="49">(B51-B6/1000)</f>
        <v>0</v>
      </c>
      <c r="C94" s="13">
        <f t="shared" si="49"/>
        <v>-2.1198961509366399</v>
      </c>
      <c r="D94" s="13">
        <f t="shared" si="49"/>
        <v>-3.9685145338826402</v>
      </c>
      <c r="E94" s="13">
        <f t="shared" si="49"/>
        <v>-6.6493810420388684</v>
      </c>
      <c r="F94" s="13">
        <f t="shared" si="49"/>
        <v>-10.25964677474586</v>
      </c>
      <c r="G94" s="13">
        <f t="shared" si="49"/>
        <v>-13.211711975914596</v>
      </c>
      <c r="H94" s="13">
        <f t="shared" si="49"/>
        <v>-16.368208245071187</v>
      </c>
      <c r="I94" s="13">
        <f t="shared" si="49"/>
        <v>-20.159053745697889</v>
      </c>
      <c r="J94" s="13">
        <f t="shared" si="49"/>
        <v>-24.256491722960561</v>
      </c>
      <c r="K94" s="13">
        <f t="shared" si="49"/>
        <v>-28.681220089690754</v>
      </c>
      <c r="L94" s="88">
        <f t="shared" si="47"/>
        <v>-125.674124280939</v>
      </c>
    </row>
    <row r="95" spans="1:12">
      <c r="A95" s="6" t="s">
        <v>445</v>
      </c>
      <c r="B95" s="13">
        <f t="shared" ref="B95:K95" si="50">(B52-B7/1000)</f>
        <v>6.380000000003605E-4</v>
      </c>
      <c r="C95" s="13">
        <f t="shared" si="50"/>
        <v>-0.3834514333341037</v>
      </c>
      <c r="D95" s="13">
        <f t="shared" si="50"/>
        <v>-0.78570346822401582</v>
      </c>
      <c r="E95" s="13">
        <f t="shared" si="50"/>
        <v>-1.2401162867503412</v>
      </c>
      <c r="F95" s="13">
        <f t="shared" si="50"/>
        <v>-1.7328981639626218</v>
      </c>
      <c r="G95" s="13">
        <f t="shared" si="50"/>
        <v>-2.3066070270960477</v>
      </c>
      <c r="H95" s="13">
        <f t="shared" si="50"/>
        <v>-2.9341928309753929</v>
      </c>
      <c r="I95" s="13">
        <f t="shared" si="50"/>
        <v>-3.6168982135777679</v>
      </c>
      <c r="J95" s="13">
        <f t="shared" si="50"/>
        <v>-4.366858530095568</v>
      </c>
      <c r="K95" s="13">
        <f t="shared" si="50"/>
        <v>-5.1895985885629692</v>
      </c>
      <c r="L95" s="88">
        <f t="shared" si="47"/>
        <v>-22.556324542578828</v>
      </c>
    </row>
    <row r="96" spans="1:12">
      <c r="A96" s="6" t="s">
        <v>446</v>
      </c>
      <c r="B96" s="13">
        <f t="shared" ref="B96:K96" si="51">(B53-B8/1000)</f>
        <v>0</v>
      </c>
      <c r="C96" s="13">
        <f t="shared" si="51"/>
        <v>-0.31706923864611802</v>
      </c>
      <c r="D96" s="13">
        <f t="shared" si="51"/>
        <v>-0.65621032595056228</v>
      </c>
      <c r="E96" s="13">
        <f t="shared" si="51"/>
        <v>-1.014899760840331</v>
      </c>
      <c r="F96" s="13">
        <f t="shared" si="51"/>
        <v>-1.4012867603371593</v>
      </c>
      <c r="G96" s="13">
        <f t="shared" si="51"/>
        <v>-1.8008217273709271</v>
      </c>
      <c r="H96" s="13">
        <f t="shared" si="51"/>
        <v>-2.2306620024182724</v>
      </c>
      <c r="I96" s="13">
        <f t="shared" si="51"/>
        <v>-2.6907428887420899</v>
      </c>
      <c r="J96" s="13">
        <f t="shared" si="51"/>
        <v>-3.1800521833572617</v>
      </c>
      <c r="K96" s="13">
        <f t="shared" si="51"/>
        <v>-3.7001580149930167</v>
      </c>
      <c r="L96" s="88">
        <f t="shared" si="47"/>
        <v>-16.991902902655738</v>
      </c>
    </row>
    <row r="97" spans="1:12">
      <c r="A97" t="s">
        <v>536</v>
      </c>
      <c r="B97" s="13">
        <f>(B54-B4/1000)</f>
        <v>-6.2650550151811331</v>
      </c>
      <c r="C97" s="13">
        <f t="shared" ref="C97:K97" si="52">(C54-C4/1000)</f>
        <v>-13.147980424664496</v>
      </c>
      <c r="D97" s="13">
        <f t="shared" si="52"/>
        <v>-20.287134900649107</v>
      </c>
      <c r="E97" s="13">
        <f t="shared" si="52"/>
        <v>-28.562047396072671</v>
      </c>
      <c r="F97" s="13">
        <f t="shared" si="52"/>
        <v>-38.130800513750302</v>
      </c>
      <c r="G97" s="13">
        <f t="shared" si="52"/>
        <v>-47.977557170442907</v>
      </c>
      <c r="H97" s="13">
        <f t="shared" si="52"/>
        <v>-58.542607970013933</v>
      </c>
      <c r="I97" s="13">
        <f t="shared" si="52"/>
        <v>-70.525855970584047</v>
      </c>
      <c r="J97" s="13">
        <f t="shared" si="52"/>
        <v>-83.639725328174393</v>
      </c>
      <c r="K97" s="13">
        <f t="shared" si="52"/>
        <v>-97.975927523782502</v>
      </c>
      <c r="L97" s="88">
        <f t="shared" si="47"/>
        <v>-458.78963719813436</v>
      </c>
    </row>
    <row r="98" spans="1:12">
      <c r="A98" t="s">
        <v>443</v>
      </c>
      <c r="B98" s="13">
        <f>(B55-B5/1000)</f>
        <v>-3.4101993927066871</v>
      </c>
      <c r="C98" s="13">
        <f t="shared" ref="C98:K98" si="53">(C55-C5/1000)</f>
        <v>-7.3925536545491752</v>
      </c>
      <c r="D98" s="13">
        <f t="shared" si="53"/>
        <v>-11.860020303680244</v>
      </c>
      <c r="E98" s="13">
        <f t="shared" si="53"/>
        <v>-16.555970762699019</v>
      </c>
      <c r="F98" s="13">
        <f t="shared" si="53"/>
        <v>-21.548932804687183</v>
      </c>
      <c r="G98" s="13">
        <f t="shared" si="53"/>
        <v>-27.38149786542624</v>
      </c>
      <c r="H98" s="13">
        <f t="shared" si="53"/>
        <v>-33.640042951415779</v>
      </c>
      <c r="I98" s="13">
        <f t="shared" si="53"/>
        <v>-40.595167236120858</v>
      </c>
      <c r="J98" s="13">
        <f t="shared" si="53"/>
        <v>-48.27509726669075</v>
      </c>
      <c r="K98" s="13">
        <f t="shared" si="53"/>
        <v>-56.743671491726019</v>
      </c>
      <c r="L98" s="88">
        <f t="shared" si="47"/>
        <v>-263.99295433699524</v>
      </c>
    </row>
    <row r="99" spans="1:12">
      <c r="A99" t="s">
        <v>444</v>
      </c>
      <c r="B99" s="13">
        <f>(B56-B6/1000)</f>
        <v>-2.1911567881905682</v>
      </c>
      <c r="C99" s="13">
        <f t="shared" ref="C99:K99" si="54">(C56-C6/1000)</f>
        <v>-4.3709613172042054</v>
      </c>
      <c r="D99" s="13">
        <f t="shared" si="54"/>
        <v>-6.2810271244092917</v>
      </c>
      <c r="E99" s="13">
        <f t="shared" si="54"/>
        <v>-9.0257592453507698</v>
      </c>
      <c r="F99" s="13">
        <f t="shared" si="54"/>
        <v>-12.700803709056416</v>
      </c>
      <c r="G99" s="13">
        <f t="shared" si="54"/>
        <v>-15.719443944304786</v>
      </c>
      <c r="H99" s="13">
        <f t="shared" si="54"/>
        <v>-18.9452014003964</v>
      </c>
      <c r="I99" s="13">
        <f t="shared" si="54"/>
        <v>-22.806613846532684</v>
      </c>
      <c r="J99" s="13">
        <f t="shared" si="54"/>
        <v>-26.976551135243994</v>
      </c>
      <c r="K99" s="13">
        <f t="shared" si="54"/>
        <v>-31.475764094194659</v>
      </c>
      <c r="L99" s="88">
        <f t="shared" si="47"/>
        <v>-148.30212581669321</v>
      </c>
    </row>
    <row r="100" spans="1:12">
      <c r="A100" s="6" t="s">
        <v>445</v>
      </c>
      <c r="B100" s="13">
        <f>(B57-B7/1000)</f>
        <v>-0.35787294635794176</v>
      </c>
      <c r="C100" s="13">
        <f t="shared" ref="C100:K100" si="55">(C57-C7/1000)</f>
        <v>-0.75599910988005092</v>
      </c>
      <c r="D100" s="13">
        <f t="shared" si="55"/>
        <v>-1.1728208958713413</v>
      </c>
      <c r="E100" s="13">
        <f t="shared" si="55"/>
        <v>-1.6424987114870238</v>
      </c>
      <c r="F100" s="13">
        <f t="shared" si="55"/>
        <v>-2.1510018232464176</v>
      </c>
      <c r="G100" s="13">
        <f t="shared" si="55"/>
        <v>-2.7410514344666446</v>
      </c>
      <c r="H100" s="13">
        <f t="shared" si="55"/>
        <v>-3.3857691772278304</v>
      </c>
      <c r="I100" s="13">
        <f t="shared" si="55"/>
        <v>-4.0861744618749274</v>
      </c>
      <c r="J100" s="13">
        <f t="shared" si="55"/>
        <v>-4.8545284424889612</v>
      </c>
      <c r="K100" s="13">
        <f t="shared" si="55"/>
        <v>-5.6963831196717898</v>
      </c>
      <c r="L100" s="88">
        <f t="shared" si="47"/>
        <v>-26.486227176214985</v>
      </c>
    </row>
    <row r="101" spans="1:12">
      <c r="A101" s="6" t="s">
        <v>446</v>
      </c>
      <c r="B101" s="13">
        <f>(B58-B8/1000)</f>
        <v>-0.30582588792590037</v>
      </c>
      <c r="C101" s="13">
        <f t="shared" ref="C101:K101" si="56">(C58-C8/1000)</f>
        <v>-0.62846634303105553</v>
      </c>
      <c r="D101" s="13">
        <f t="shared" si="56"/>
        <v>-0.97326657668817163</v>
      </c>
      <c r="E101" s="13">
        <f t="shared" si="56"/>
        <v>-1.3378186765358571</v>
      </c>
      <c r="F101" s="13">
        <f t="shared" si="56"/>
        <v>-1.7300621767603204</v>
      </c>
      <c r="G101" s="13">
        <f t="shared" si="56"/>
        <v>-2.1355639262452808</v>
      </c>
      <c r="H101" s="13">
        <f t="shared" si="56"/>
        <v>-2.571594440973934</v>
      </c>
      <c r="I101" s="13">
        <f t="shared" si="56"/>
        <v>-3.037900426055554</v>
      </c>
      <c r="J101" s="13">
        <f t="shared" si="56"/>
        <v>-3.5335484837507316</v>
      </c>
      <c r="K101" s="13">
        <f t="shared" si="56"/>
        <v>-4.0601088181900007</v>
      </c>
      <c r="L101" s="88">
        <f t="shared" si="47"/>
        <v>-20.008329868230906</v>
      </c>
    </row>
    <row r="102" spans="1:12">
      <c r="A102" s="6"/>
      <c r="B102" s="13"/>
      <c r="C102" s="13"/>
      <c r="D102" s="13"/>
      <c r="E102" s="13"/>
      <c r="F102" s="13"/>
      <c r="G102" s="13"/>
      <c r="H102" s="13"/>
      <c r="I102" s="13"/>
      <c r="J102" s="13"/>
      <c r="K102" s="13"/>
      <c r="L102" s="88"/>
    </row>
    <row r="103" spans="1:12">
      <c r="A103" s="313" t="s">
        <v>505</v>
      </c>
    </row>
    <row r="104" spans="1:12">
      <c r="A104" t="s">
        <v>534</v>
      </c>
      <c r="B104" s="13">
        <f t="shared" ref="B104:K104" si="57">B48-B$77</f>
        <v>-15.849349648660393</v>
      </c>
      <c r="C104" s="13">
        <f t="shared" si="57"/>
        <v>-19.068213342960007</v>
      </c>
      <c r="D104" s="13">
        <f t="shared" si="57"/>
        <v>-22.306602595346931</v>
      </c>
      <c r="E104" s="13">
        <f t="shared" si="57"/>
        <v>-25.80773337485266</v>
      </c>
      <c r="F104" s="13">
        <f t="shared" si="57"/>
        <v>-29.668212057033315</v>
      </c>
      <c r="G104" s="13">
        <f t="shared" si="57"/>
        <v>-33.574919008489587</v>
      </c>
      <c r="H104" s="13">
        <f t="shared" si="57"/>
        <v>-37.596137073342334</v>
      </c>
      <c r="I104" s="13">
        <f t="shared" si="57"/>
        <v>-41.783284052653016</v>
      </c>
      <c r="J104" s="13">
        <f t="shared" si="57"/>
        <v>-46.173566945771086</v>
      </c>
      <c r="K104" s="13">
        <f t="shared" si="57"/>
        <v>-50.775493398789536</v>
      </c>
      <c r="L104" s="88">
        <f>SUM(B104:K104)</f>
        <v>-322.60351149789886</v>
      </c>
    </row>
    <row r="105" spans="1:12">
      <c r="A105" t="s">
        <v>535</v>
      </c>
      <c r="B105" s="13">
        <f t="shared" ref="B105:K105" si="58">B49-B$79</f>
        <v>6.3800000000924229E-4</v>
      </c>
      <c r="C105" s="13">
        <f t="shared" si="58"/>
        <v>-1.1012708930306871</v>
      </c>
      <c r="D105" s="13">
        <f t="shared" si="58"/>
        <v>-1.8432842295810303</v>
      </c>
      <c r="E105" s="13">
        <f t="shared" si="58"/>
        <v>-3.0957338429670358</v>
      </c>
      <c r="F105" s="13">
        <f t="shared" si="58"/>
        <v>-4.7860706690129291</v>
      </c>
      <c r="G105" s="13">
        <f t="shared" si="58"/>
        <v>-6.007778645671209</v>
      </c>
      <c r="H105" s="13">
        <f t="shared" si="58"/>
        <v>-7.1942791052225346</v>
      </c>
      <c r="I105" s="13">
        <f t="shared" si="58"/>
        <v>-8.7636984264496505</v>
      </c>
      <c r="J105" s="13">
        <f t="shared" si="58"/>
        <v>-10.44366327620088</v>
      </c>
      <c r="K105" s="13">
        <f t="shared" si="58"/>
        <v>-12.240659022040006</v>
      </c>
      <c r="L105" s="88">
        <f>SUM(B105:K105)</f>
        <v>-55.475800110175953</v>
      </c>
    </row>
    <row r="106" spans="1:12">
      <c r="A106" t="s">
        <v>443</v>
      </c>
      <c r="B106" s="13">
        <f>B50-B80</f>
        <v>0</v>
      </c>
      <c r="C106" s="13">
        <f t="shared" ref="C106:K106" si="59">C50-C80</f>
        <v>-0.78309603629948299</v>
      </c>
      <c r="D106" s="13">
        <f t="shared" si="59"/>
        <v>-1.6414348199928241</v>
      </c>
      <c r="E106" s="13">
        <f t="shared" si="59"/>
        <v>-2.3414079489762827</v>
      </c>
      <c r="F106" s="13">
        <f t="shared" si="59"/>
        <v>-2.8512371410363073</v>
      </c>
      <c r="G106" s="13">
        <f t="shared" si="59"/>
        <v>-3.6668342244334156</v>
      </c>
      <c r="H106" s="13">
        <f t="shared" si="59"/>
        <v>-4.4159637878088063</v>
      </c>
      <c r="I106" s="13">
        <f t="shared" si="59"/>
        <v>-5.2261223989411292</v>
      </c>
      <c r="J106" s="13">
        <f t="shared" si="59"/>
        <v>-6.1022991453274926</v>
      </c>
      <c r="K106" s="13">
        <f t="shared" si="59"/>
        <v>-7.0488948809377234</v>
      </c>
      <c r="L106" s="88">
        <f t="shared" ref="L106:L114" si="60">SUM(B106:K106)</f>
        <v>-34.077290383753464</v>
      </c>
    </row>
    <row r="107" spans="1:12">
      <c r="A107" t="s">
        <v>444</v>
      </c>
      <c r="B107" s="13">
        <f>B51-B81</f>
        <v>0</v>
      </c>
      <c r="C107" s="13">
        <f t="shared" ref="C107:K107" si="61">C51-C81</f>
        <v>-0.20184990405783765</v>
      </c>
      <c r="D107" s="13">
        <f t="shared" si="61"/>
        <v>1.526583646064239E-2</v>
      </c>
      <c r="E107" s="13">
        <f t="shared" si="61"/>
        <v>-0.41792803818454161</v>
      </c>
      <c r="F107" s="13">
        <f t="shared" si="61"/>
        <v>-1.4848547871475262</v>
      </c>
      <c r="G107" s="13">
        <f t="shared" si="61"/>
        <v>-1.7544074945605246</v>
      </c>
      <c r="H107" s="13">
        <f t="shared" si="61"/>
        <v>-2.0388938448144955</v>
      </c>
      <c r="I107" s="13">
        <f t="shared" si="61"/>
        <v>-2.6455865042587732</v>
      </c>
      <c r="J107" s="13">
        <f t="shared" si="61"/>
        <v>-3.2875013026369402</v>
      </c>
      <c r="K107" s="13">
        <f t="shared" si="61"/>
        <v>-3.9662313734698529</v>
      </c>
      <c r="L107" s="88">
        <f t="shared" si="60"/>
        <v>-15.781987412669849</v>
      </c>
    </row>
    <row r="108" spans="1:12">
      <c r="A108" s="6" t="s">
        <v>445</v>
      </c>
      <c r="B108" s="13">
        <f>B52-B82</f>
        <v>6.380000000003605E-4</v>
      </c>
      <c r="C108" s="13">
        <f t="shared" ref="C108:K108" si="62">C52-C82</f>
        <v>-6.5189904420138944E-2</v>
      </c>
      <c r="D108" s="13">
        <f t="shared" si="62"/>
        <v>-0.1127244575848394</v>
      </c>
      <c r="E108" s="13">
        <f t="shared" si="62"/>
        <v>-0.17651449176871203</v>
      </c>
      <c r="F108" s="13">
        <f t="shared" si="62"/>
        <v>-0.23238747815139682</v>
      </c>
      <c r="G108" s="13">
        <f t="shared" si="62"/>
        <v>-0.31957660951131928</v>
      </c>
      <c r="H108" s="13">
        <f t="shared" si="62"/>
        <v>-0.4138056021036931</v>
      </c>
      <c r="I108" s="13">
        <f t="shared" si="62"/>
        <v>-0.50547068286971353</v>
      </c>
      <c r="J108" s="13">
        <f t="shared" si="62"/>
        <v>-0.60406165931725475</v>
      </c>
      <c r="K108" s="13">
        <f t="shared" si="62"/>
        <v>-0.70999724192335378</v>
      </c>
      <c r="L108" s="88">
        <f t="shared" si="60"/>
        <v>-3.1390901276504213</v>
      </c>
    </row>
    <row r="109" spans="1:12">
      <c r="A109" s="6" t="s">
        <v>446</v>
      </c>
      <c r="B109" s="13">
        <f>B53-B83</f>
        <v>0</v>
      </c>
      <c r="C109" s="13">
        <f t="shared" ref="C109:K109" si="63">C53-C83</f>
        <v>-5.1135048253213355E-2</v>
      </c>
      <c r="D109" s="13">
        <f t="shared" si="63"/>
        <v>-0.10439078846396832</v>
      </c>
      <c r="E109" s="13">
        <f t="shared" si="63"/>
        <v>-0.15988336403747461</v>
      </c>
      <c r="F109" s="13">
        <f t="shared" si="63"/>
        <v>-0.21759126267771123</v>
      </c>
      <c r="G109" s="13">
        <f t="shared" si="63"/>
        <v>-0.26696031716596025</v>
      </c>
      <c r="H109" s="13">
        <f t="shared" si="63"/>
        <v>-0.32561587049550766</v>
      </c>
      <c r="I109" s="13">
        <f t="shared" si="63"/>
        <v>-0.38651884038000972</v>
      </c>
      <c r="J109" s="13">
        <f t="shared" si="63"/>
        <v>-0.4498011689192154</v>
      </c>
      <c r="K109" s="13">
        <f t="shared" si="63"/>
        <v>-0.51553552570911165</v>
      </c>
      <c r="L109" s="88">
        <f t="shared" si="60"/>
        <v>-2.4774321861021722</v>
      </c>
    </row>
    <row r="110" spans="1:12">
      <c r="A110" t="s">
        <v>538</v>
      </c>
      <c r="B110" s="13">
        <f>B54-B79</f>
        <v>-6.2650550151811331</v>
      </c>
      <c r="C110" s="13">
        <f t="shared" ref="C110:K110" si="64">C54-C79</f>
        <v>-7.5984620466309423</v>
      </c>
      <c r="D110" s="13">
        <f t="shared" si="64"/>
        <v>-8.580747727785166</v>
      </c>
      <c r="E110" s="13">
        <f t="shared" si="64"/>
        <v>-10.085059683137018</v>
      </c>
      <c r="F110" s="13">
        <f t="shared" si="64"/>
        <v>-12.034690754520113</v>
      </c>
      <c r="G110" s="13">
        <f t="shared" si="64"/>
        <v>-13.525963562111343</v>
      </c>
      <c r="H110" s="13">
        <f t="shared" si="64"/>
        <v>-14.995266386240985</v>
      </c>
      <c r="I110" s="13">
        <f t="shared" si="64"/>
        <v>-16.856866277208979</v>
      </c>
      <c r="J110" s="13">
        <f t="shared" si="64"/>
        <v>-18.840570381287307</v>
      </c>
      <c r="K110" s="13">
        <f t="shared" si="64"/>
        <v>-20.95333965975027</v>
      </c>
      <c r="L110" s="88">
        <f t="shared" si="60"/>
        <v>-129.73602149385326</v>
      </c>
    </row>
    <row r="111" spans="1:12">
      <c r="A111" t="s">
        <v>443</v>
      </c>
      <c r="B111" s="13">
        <f>B55-B80</f>
        <v>-3.4101993927066871</v>
      </c>
      <c r="C111" s="13">
        <f t="shared" ref="C111:K111" si="65">C55-C80</f>
        <v>-4.345277242701286</v>
      </c>
      <c r="D111" s="13">
        <f t="shared" si="65"/>
        <v>-5.3622120492853753</v>
      </c>
      <c r="E111" s="13">
        <f t="shared" si="65"/>
        <v>-6.2290542454021534</v>
      </c>
      <c r="F111" s="13">
        <f t="shared" si="65"/>
        <v>-6.9118212165259365</v>
      </c>
      <c r="G111" s="13">
        <f t="shared" si="65"/>
        <v>-7.908100566238403</v>
      </c>
      <c r="H111" s="13">
        <f t="shared" si="65"/>
        <v>-8.8474491286939951</v>
      </c>
      <c r="I111" s="13">
        <f t="shared" si="65"/>
        <v>-9.8552963632550359</v>
      </c>
      <c r="J111" s="13">
        <f t="shared" si="65"/>
        <v>-10.937980625343698</v>
      </c>
      <c r="K111" s="13">
        <f t="shared" si="65"/>
        <v>-12.10029617983821</v>
      </c>
      <c r="L111" s="88">
        <f t="shared" si="60"/>
        <v>-75.907687009990781</v>
      </c>
    </row>
    <row r="112" spans="1:12">
      <c r="A112" t="s">
        <v>444</v>
      </c>
      <c r="B112" s="13">
        <f>B56-B81</f>
        <v>-2.1911567881905682</v>
      </c>
      <c r="C112" s="13">
        <f t="shared" ref="C112:K112" si="66">C56-C81</f>
        <v>-2.4529150703254032</v>
      </c>
      <c r="D112" s="13">
        <f t="shared" si="66"/>
        <v>-2.2972467540660091</v>
      </c>
      <c r="E112" s="13">
        <f t="shared" si="66"/>
        <v>-2.794306241496443</v>
      </c>
      <c r="F112" s="13">
        <f t="shared" si="66"/>
        <v>-3.9260117214580816</v>
      </c>
      <c r="G112" s="13">
        <f t="shared" si="66"/>
        <v>-4.2621394629507137</v>
      </c>
      <c r="H112" s="13">
        <f t="shared" si="66"/>
        <v>-4.6158870001397077</v>
      </c>
      <c r="I112" s="13">
        <f t="shared" si="66"/>
        <v>-5.2931466050935683</v>
      </c>
      <c r="J112" s="13">
        <f t="shared" si="66"/>
        <v>-6.0075607149203734</v>
      </c>
      <c r="K112" s="13">
        <f t="shared" si="66"/>
        <v>-6.7607753779737578</v>
      </c>
      <c r="L112" s="88">
        <f t="shared" si="60"/>
        <v>-40.601145736614626</v>
      </c>
    </row>
    <row r="113" spans="1:12">
      <c r="A113" s="6" t="s">
        <v>445</v>
      </c>
      <c r="B113" s="13">
        <f>B57-B82</f>
        <v>-0.35787294635794176</v>
      </c>
      <c r="C113" s="13">
        <f t="shared" ref="C113:K113" si="67">C57-C82</f>
        <v>-0.43773758096608617</v>
      </c>
      <c r="D113" s="13">
        <f t="shared" si="67"/>
        <v>-0.49984188523216488</v>
      </c>
      <c r="E113" s="13">
        <f t="shared" si="67"/>
        <v>-0.57889691650539454</v>
      </c>
      <c r="F113" s="13">
        <f t="shared" si="67"/>
        <v>-0.65049113743519271</v>
      </c>
      <c r="G113" s="13">
        <f t="shared" si="67"/>
        <v>-0.75402101688191614</v>
      </c>
      <c r="H113" s="13">
        <f t="shared" si="67"/>
        <v>-0.86538194835613069</v>
      </c>
      <c r="I113" s="13">
        <f t="shared" si="67"/>
        <v>-0.97474693116687305</v>
      </c>
      <c r="J113" s="13">
        <f t="shared" si="67"/>
        <v>-1.0917315717106479</v>
      </c>
      <c r="K113" s="13">
        <f t="shared" si="67"/>
        <v>-1.2167817730321744</v>
      </c>
      <c r="L113" s="88">
        <f t="shared" si="60"/>
        <v>-7.4275037076445223</v>
      </c>
    </row>
    <row r="114" spans="1:12">
      <c r="A114" s="6" t="s">
        <v>446</v>
      </c>
      <c r="B114" s="13">
        <f>B58-B83</f>
        <v>-0.30582588792590037</v>
      </c>
      <c r="C114" s="13">
        <f t="shared" ref="C114:K114" si="68">C58-C83</f>
        <v>-0.36253215263815086</v>
      </c>
      <c r="D114" s="13">
        <f t="shared" si="68"/>
        <v>-0.42144703920157767</v>
      </c>
      <c r="E114" s="13">
        <f t="shared" si="68"/>
        <v>-0.48280227973300072</v>
      </c>
      <c r="F114" s="13">
        <f t="shared" si="68"/>
        <v>-0.54636667910087233</v>
      </c>
      <c r="G114" s="13">
        <f t="shared" si="68"/>
        <v>-0.60170251604031399</v>
      </c>
      <c r="H114" s="13">
        <f t="shared" si="68"/>
        <v>-0.66654830905116924</v>
      </c>
      <c r="I114" s="13">
        <f t="shared" si="68"/>
        <v>-0.73367637769347382</v>
      </c>
      <c r="J114" s="13">
        <f t="shared" si="68"/>
        <v>-0.80329746931268531</v>
      </c>
      <c r="K114" s="13">
        <f t="shared" si="68"/>
        <v>-0.87548632890609568</v>
      </c>
      <c r="L114" s="88">
        <f t="shared" si="60"/>
        <v>-5.79968503960324</v>
      </c>
    </row>
    <row r="115" spans="1:12">
      <c r="A115" s="382" t="s">
        <v>568</v>
      </c>
      <c r="B115" s="13"/>
      <c r="C115" s="13"/>
      <c r="D115" s="13"/>
      <c r="E115" s="13"/>
      <c r="F115" s="13"/>
      <c r="G115" s="13"/>
      <c r="H115" s="13"/>
      <c r="I115" s="13"/>
      <c r="J115" s="13"/>
      <c r="K115" s="13"/>
      <c r="L115" s="88"/>
    </row>
    <row r="116" spans="1:12">
      <c r="A116" t="s">
        <v>502</v>
      </c>
      <c r="B116" s="13">
        <f t="shared" ref="B116:K116" si="69">B60-B$77</f>
        <v>-15.849349648660393</v>
      </c>
      <c r="C116" s="13">
        <f t="shared" si="69"/>
        <v>-22.560999606995949</v>
      </c>
      <c r="D116" s="13">
        <f t="shared" si="69"/>
        <v>-28.135017319524081</v>
      </c>
      <c r="E116" s="13">
        <f t="shared" si="69"/>
        <v>-35.453582741611058</v>
      </c>
      <c r="F116" s="13">
        <f t="shared" si="69"/>
        <v>-44.03360371946917</v>
      </c>
      <c r="G116" s="13">
        <f t="shared" si="69"/>
        <v>-52.370697999918093</v>
      </c>
      <c r="H116" s="13">
        <f t="shared" si="69"/>
        <v>-60.933345327889356</v>
      </c>
      <c r="I116" s="13">
        <f t="shared" si="69"/>
        <v>-69.567963009061259</v>
      </c>
      <c r="J116" s="13">
        <f t="shared" si="69"/>
        <v>-78.606446261790438</v>
      </c>
      <c r="K116" s="13">
        <f t="shared" si="69"/>
        <v>-88.064541325384312</v>
      </c>
      <c r="L116" s="88">
        <f t="shared" ref="L116:L131" si="70">SUM(B116:K116)</f>
        <v>-495.57554696030411</v>
      </c>
    </row>
    <row r="117" spans="1:12">
      <c r="A117" t="s">
        <v>530</v>
      </c>
      <c r="B117" s="13">
        <f t="shared" ref="B117:K117" si="71">B61-B$77</f>
        <v>10.126854371537206</v>
      </c>
      <c r="C117" s="13">
        <f t="shared" si="71"/>
        <v>7.5725801657891907</v>
      </c>
      <c r="D117" s="13">
        <f t="shared" si="71"/>
        <v>4.906231471365686</v>
      </c>
      <c r="E117" s="13">
        <f t="shared" si="71"/>
        <v>2.1043101346132289</v>
      </c>
      <c r="F117" s="13">
        <f t="shared" si="71"/>
        <v>-1.0486669355079812</v>
      </c>
      <c r="G117" s="13">
        <f t="shared" si="71"/>
        <v>-4.2298966054945595</v>
      </c>
      <c r="H117" s="13">
        <f t="shared" si="71"/>
        <v>-7.5256668865880556</v>
      </c>
      <c r="I117" s="13">
        <f t="shared" si="71"/>
        <v>-10.956707366268347</v>
      </c>
      <c r="J117" s="13">
        <f t="shared" si="71"/>
        <v>-14.57179224263075</v>
      </c>
      <c r="K117" s="13">
        <f t="shared" si="71"/>
        <v>-18.378943517206267</v>
      </c>
      <c r="L117" s="88">
        <f t="shared" si="70"/>
        <v>-32.001697410390648</v>
      </c>
    </row>
    <row r="118" spans="1:12">
      <c r="A118" t="s">
        <v>531</v>
      </c>
      <c r="B118" s="13">
        <f t="shared" ref="B118:K118" si="72">B62-B$77</f>
        <v>10.126854371537206</v>
      </c>
      <c r="C118" s="13">
        <f t="shared" si="72"/>
        <v>3.8731732975556952</v>
      </c>
      <c r="D118" s="13">
        <f t="shared" si="72"/>
        <v>-1.1843972183007736</v>
      </c>
      <c r="E118" s="13">
        <f t="shared" si="72"/>
        <v>-7.9940876646998049</v>
      </c>
      <c r="F118" s="13">
        <f t="shared" si="72"/>
        <v>-16.091699068991375</v>
      </c>
      <c r="G118" s="13">
        <f t="shared" si="72"/>
        <v>-23.937984604214762</v>
      </c>
      <c r="H118" s="13">
        <f t="shared" si="72"/>
        <v>-31.991307662240274</v>
      </c>
      <c r="I118" s="13">
        <f t="shared" si="72"/>
        <v>-40.085845854255808</v>
      </c>
      <c r="J118" s="13">
        <f t="shared" si="72"/>
        <v>-48.574081356058969</v>
      </c>
      <c r="K118" s="13">
        <f t="shared" si="72"/>
        <v>-57.471565577813521</v>
      </c>
      <c r="L118" s="88">
        <f t="shared" si="70"/>
        <v>-213.33094133748239</v>
      </c>
    </row>
    <row r="119" spans="1:12">
      <c r="A119" t="s">
        <v>532</v>
      </c>
      <c r="B119" s="13">
        <f>B63-B$77</f>
        <v>-34.779866059343078</v>
      </c>
      <c r="C119" s="13">
        <f t="shared" ref="C119:K119" si="73">C63-C$77</f>
        <v>-38.469429370624596</v>
      </c>
      <c r="D119" s="13">
        <f t="shared" si="73"/>
        <v>-42.1841313090531</v>
      </c>
      <c r="E119" s="13">
        <f t="shared" si="73"/>
        <v>-46.2126875889752</v>
      </c>
      <c r="F119" s="13">
        <f t="shared" si="73"/>
        <v>-50.602929793842009</v>
      </c>
      <c r="G119" s="13">
        <f t="shared" si="73"/>
        <v>-55.042672077301631</v>
      </c>
      <c r="H119" s="13">
        <f t="shared" si="73"/>
        <v>-59.613390181735213</v>
      </c>
      <c r="I119" s="13">
        <f t="shared" si="73"/>
        <v>-64.367027232799387</v>
      </c>
      <c r="J119" s="13">
        <f t="shared" si="73"/>
        <v>-69.338996711798245</v>
      </c>
      <c r="K119" s="13">
        <f t="shared" si="73"/>
        <v>-74.538226957399957</v>
      </c>
      <c r="L119" s="88">
        <f t="shared" si="70"/>
        <v>-535.14935728287242</v>
      </c>
    </row>
    <row r="120" spans="1:12">
      <c r="A120" s="6" t="s">
        <v>533</v>
      </c>
      <c r="B120" s="13">
        <f t="shared" ref="B120:K120" si="74">B64-B$77</f>
        <v>-34.779866059343078</v>
      </c>
      <c r="C120" s="13">
        <f t="shared" si="74"/>
        <v>-41.817545111428956</v>
      </c>
      <c r="D120" s="13">
        <f t="shared" si="74"/>
        <v>-47.674180540161672</v>
      </c>
      <c r="E120" s="13">
        <f t="shared" si="74"/>
        <v>-55.324167612319116</v>
      </c>
      <c r="F120" s="13">
        <f t="shared" si="74"/>
        <v>-64.154041260481222</v>
      </c>
      <c r="G120" s="13">
        <f t="shared" si="74"/>
        <v>-72.713405832265494</v>
      </c>
      <c r="H120" s="13">
        <f t="shared" si="74"/>
        <v>-81.506356947954941</v>
      </c>
      <c r="I120" s="13">
        <f t="shared" si="74"/>
        <v>-90.41940960785621</v>
      </c>
      <c r="J120" s="13">
        <f t="shared" si="74"/>
        <v>-99.750070790607197</v>
      </c>
      <c r="K120" s="13">
        <f t="shared" si="74"/>
        <v>-109.50357327693621</v>
      </c>
      <c r="L120" s="88">
        <f t="shared" si="70"/>
        <v>-697.64261703935415</v>
      </c>
    </row>
    <row r="121" spans="1:12">
      <c r="A121" s="6" t="s">
        <v>540</v>
      </c>
      <c r="B121" s="13">
        <f>B65-B$77</f>
        <v>-8.8192952843053263</v>
      </c>
      <c r="C121" s="13">
        <f t="shared" ref="C121:K121" si="75">C65-C$77</f>
        <v>-11.853096930512606</v>
      </c>
      <c r="D121" s="13">
        <f t="shared" si="75"/>
        <v>-15.000186749571412</v>
      </c>
      <c r="E121" s="13">
        <f t="shared" si="75"/>
        <v>-18.334213802920885</v>
      </c>
      <c r="F121" s="13">
        <f t="shared" si="75"/>
        <v>-22.021885409810238</v>
      </c>
      <c r="G121" s="13">
        <f t="shared" si="75"/>
        <v>-25.741288655734024</v>
      </c>
      <c r="H121" s="13">
        <f t="shared" si="75"/>
        <v>-29.59194567562065</v>
      </c>
      <c r="I121" s="13">
        <f t="shared" si="75"/>
        <v>-33.595156558636063</v>
      </c>
      <c r="J121" s="13">
        <f t="shared" si="75"/>
        <v>-37.797880568615597</v>
      </c>
      <c r="K121" s="13">
        <f t="shared" si="75"/>
        <v>-42.20857217305479</v>
      </c>
      <c r="L121" s="88">
        <f t="shared" si="70"/>
        <v>-244.96352180878159</v>
      </c>
    </row>
    <row r="122" spans="1:12">
      <c r="A122" s="6" t="s">
        <v>541</v>
      </c>
      <c r="B122" s="13">
        <f>B66-B$77</f>
        <v>-8.8192952843053263</v>
      </c>
      <c r="C122" s="13">
        <f t="shared" ref="C122:K122" si="76">C66-C$77</f>
        <v>-15.402946005853096</v>
      </c>
      <c r="D122" s="13">
        <f t="shared" si="76"/>
        <v>-20.747668887147711</v>
      </c>
      <c r="E122" s="13">
        <f t="shared" si="76"/>
        <v>-27.892896409786317</v>
      </c>
      <c r="F122" s="13">
        <f t="shared" si="76"/>
        <v>-36.244704735861319</v>
      </c>
      <c r="G122" s="13">
        <f t="shared" si="76"/>
        <v>-44.317627872033654</v>
      </c>
      <c r="H122" s="13">
        <f t="shared" si="76"/>
        <v>-52.606018249830868</v>
      </c>
      <c r="I122" s="13">
        <f t="shared" si="76"/>
        <v>-60.983962752118941</v>
      </c>
      <c r="J122" s="13">
        <f t="shared" si="76"/>
        <v>-69.769557819024953</v>
      </c>
      <c r="K122" s="13">
        <f t="shared" si="76"/>
        <v>-78.967853992304413</v>
      </c>
      <c r="L122" s="88">
        <f t="shared" si="70"/>
        <v>-415.7525320082666</v>
      </c>
    </row>
    <row r="123" spans="1:12">
      <c r="A123" s="382" t="s">
        <v>569</v>
      </c>
      <c r="B123" s="13"/>
      <c r="C123" s="13"/>
      <c r="D123" s="13"/>
      <c r="E123" s="13"/>
      <c r="F123" s="13"/>
      <c r="G123" s="13"/>
      <c r="H123" s="13"/>
      <c r="I123" s="13"/>
      <c r="J123" s="13"/>
      <c r="K123" s="13"/>
      <c r="L123" s="88"/>
    </row>
    <row r="124" spans="1:12">
      <c r="A124" s="264" t="s">
        <v>501</v>
      </c>
      <c r="B124" s="13">
        <f>B68-B$77</f>
        <v>-12.080335549982181</v>
      </c>
      <c r="C124" s="13">
        <f t="shared" ref="C124:K124" si="77">C68-C$77</f>
        <v>-15.136160321365196</v>
      </c>
      <c r="D124" s="13">
        <f t="shared" si="77"/>
        <v>-18.222700790798967</v>
      </c>
      <c r="E124" s="13">
        <f t="shared" si="77"/>
        <v>-21.552636723638557</v>
      </c>
      <c r="F124" s="13">
        <f t="shared" si="77"/>
        <v>-25.226820944864585</v>
      </c>
      <c r="G124" s="13">
        <f t="shared" si="77"/>
        <v>-28.958001185825083</v>
      </c>
      <c r="H124" s="13">
        <f t="shared" si="77"/>
        <v>-32.795759671710584</v>
      </c>
      <c r="I124" s="13">
        <f t="shared" si="77"/>
        <v>-36.79230347952489</v>
      </c>
      <c r="J124" s="13">
        <f t="shared" si="77"/>
        <v>-40.987260990416644</v>
      </c>
      <c r="K124" s="13">
        <f t="shared" si="77"/>
        <v>-45.388943230202813</v>
      </c>
      <c r="L124" s="88">
        <f t="shared" si="70"/>
        <v>-277.1409228883295</v>
      </c>
    </row>
    <row r="125" spans="1:12">
      <c r="A125" t="s">
        <v>502</v>
      </c>
      <c r="B125" s="13">
        <f t="shared" ref="B125:K131" si="78">B69-B$77</f>
        <v>-12.080335549982181</v>
      </c>
      <c r="C125" s="13">
        <f t="shared" si="78"/>
        <v>-18.658232443655265</v>
      </c>
      <c r="D125" s="13">
        <f t="shared" si="78"/>
        <v>-24.090631057305018</v>
      </c>
      <c r="E125" s="13">
        <f t="shared" si="78"/>
        <v>-31.265752399929738</v>
      </c>
      <c r="F125" s="13">
        <f t="shared" si="78"/>
        <v>-39.703503975679155</v>
      </c>
      <c r="G125" s="13">
        <f t="shared" si="78"/>
        <v>-47.898455996039843</v>
      </c>
      <c r="H125" s="13">
        <f t="shared" si="78"/>
        <v>-56.315317570670345</v>
      </c>
      <c r="I125" s="13">
        <f t="shared" si="78"/>
        <v>-64.796759999620804</v>
      </c>
      <c r="J125" s="13">
        <f t="shared" si="78"/>
        <v>-73.67893708604845</v>
      </c>
      <c r="K125" s="13">
        <f t="shared" si="78"/>
        <v>-82.977452352462024</v>
      </c>
      <c r="L125" s="88">
        <f t="shared" si="70"/>
        <v>-451.46537843139282</v>
      </c>
    </row>
    <row r="126" spans="1:12">
      <c r="A126" t="s">
        <v>530</v>
      </c>
      <c r="B126" s="13">
        <f t="shared" si="78"/>
        <v>15.249711653731083</v>
      </c>
      <c r="C126" s="13">
        <f t="shared" si="78"/>
        <v>12.887531781549342</v>
      </c>
      <c r="D126" s="13">
        <f t="shared" si="78"/>
        <v>10.401664837342196</v>
      </c>
      <c r="E126" s="13">
        <f t="shared" si="78"/>
        <v>7.8060889860847738</v>
      </c>
      <c r="F126" s="13">
        <f t="shared" si="78"/>
        <v>4.8748324794833024</v>
      </c>
      <c r="G126" s="13">
        <f t="shared" si="78"/>
        <v>1.9055314147259423</v>
      </c>
      <c r="H126" s="13">
        <f t="shared" si="78"/>
        <v>-1.1704428696363038</v>
      </c>
      <c r="I126" s="13">
        <f t="shared" si="78"/>
        <v>-4.3731010605140455</v>
      </c>
      <c r="J126" s="13">
        <f t="shared" si="78"/>
        <v>-7.7541862215152833</v>
      </c>
      <c r="K126" s="13">
        <f t="shared" si="78"/>
        <v>-11.321503580973854</v>
      </c>
      <c r="L126" s="88">
        <f t="shared" si="70"/>
        <v>28.506127420277153</v>
      </c>
    </row>
    <row r="127" spans="1:12">
      <c r="A127" t="s">
        <v>531</v>
      </c>
      <c r="B127" s="13">
        <f t="shared" si="78"/>
        <v>15.249711653731083</v>
      </c>
      <c r="C127" s="13">
        <f t="shared" si="78"/>
        <v>9.1523684339491638</v>
      </c>
      <c r="D127" s="13">
        <f t="shared" si="78"/>
        <v>4.2621484185311829</v>
      </c>
      <c r="E127" s="13">
        <f t="shared" si="78"/>
        <v>-2.3789669731885397</v>
      </c>
      <c r="F127" s="13">
        <f t="shared" si="78"/>
        <v>-10.310778833605355</v>
      </c>
      <c r="G127" s="13">
        <f t="shared" si="78"/>
        <v>-17.990893559225469</v>
      </c>
      <c r="H127" s="13">
        <f t="shared" si="78"/>
        <v>-25.873509354082444</v>
      </c>
      <c r="I127" s="13">
        <f t="shared" si="78"/>
        <v>-33.788465972865197</v>
      </c>
      <c r="J127" s="13">
        <f t="shared" si="78"/>
        <v>-42.093561894131199</v>
      </c>
      <c r="K127" s="13">
        <f t="shared" si="78"/>
        <v>-50.804200771862838</v>
      </c>
      <c r="L127" s="88">
        <f t="shared" si="70"/>
        <v>-154.57614885274961</v>
      </c>
    </row>
    <row r="128" spans="1:12">
      <c r="A128" t="s">
        <v>532</v>
      </c>
      <c r="B128" s="13">
        <f t="shared" si="78"/>
        <v>-30.875253037405855</v>
      </c>
      <c r="C128" s="13">
        <f t="shared" si="78"/>
        <v>-34.400375808998717</v>
      </c>
      <c r="D128" s="13">
        <f t="shared" si="78"/>
        <v>-37.961655143669361</v>
      </c>
      <c r="E128" s="13">
        <f t="shared" si="78"/>
        <v>-41.817463052188941</v>
      </c>
      <c r="F128" s="13">
        <f t="shared" si="78"/>
        <v>-46.020269911244441</v>
      </c>
      <c r="G128" s="13">
        <f t="shared" si="78"/>
        <v>-50.282924464535654</v>
      </c>
      <c r="H128" s="13">
        <f t="shared" si="78"/>
        <v>-54.668684497578738</v>
      </c>
      <c r="I128" s="13">
        <f t="shared" si="78"/>
        <v>-59.230429900129934</v>
      </c>
      <c r="J128" s="13">
        <f t="shared" si="78"/>
        <v>-64.005849997481505</v>
      </c>
      <c r="K128" s="13">
        <f t="shared" si="78"/>
        <v>-69.003682687695118</v>
      </c>
      <c r="L128" s="88">
        <f t="shared" si="70"/>
        <v>-488.26658850092826</v>
      </c>
    </row>
    <row r="129" spans="1:12">
      <c r="A129" s="6" t="s">
        <v>533</v>
      </c>
      <c r="B129" s="13">
        <f t="shared" si="78"/>
        <v>-30.875253037405855</v>
      </c>
      <c r="C129" s="13">
        <f t="shared" si="78"/>
        <v>-37.779748899324375</v>
      </c>
      <c r="D129" s="13">
        <f t="shared" si="78"/>
        <v>-43.581001909509951</v>
      </c>
      <c r="E129" s="13">
        <f t="shared" si="78"/>
        <v>-51.119142755063422</v>
      </c>
      <c r="F129" s="13">
        <f t="shared" si="78"/>
        <v>-59.900057547487222</v>
      </c>
      <c r="G129" s="13">
        <f t="shared" si="78"/>
        <v>-68.444623847153139</v>
      </c>
      <c r="H129" s="13">
        <f t="shared" si="78"/>
        <v>-77.224087323728213</v>
      </c>
      <c r="I129" s="13">
        <f t="shared" si="78"/>
        <v>-86.089886771728288</v>
      </c>
      <c r="J129" s="13">
        <f t="shared" si="78"/>
        <v>-95.363423666764561</v>
      </c>
      <c r="K129" s="13">
        <f t="shared" si="78"/>
        <v>-105.06042644919603</v>
      </c>
      <c r="L129" s="88">
        <f t="shared" si="70"/>
        <v>-655.437652207361</v>
      </c>
    </row>
    <row r="130" spans="1:12">
      <c r="A130" s="6" t="s">
        <v>540</v>
      </c>
      <c r="B130" s="13">
        <f t="shared" si="78"/>
        <v>-3.5460514182465204</v>
      </c>
      <c r="C130" s="13">
        <f t="shared" si="78"/>
        <v>-6.3775598048079019</v>
      </c>
      <c r="D130" s="13">
        <f t="shared" si="78"/>
        <v>-9.3381907730062039</v>
      </c>
      <c r="E130" s="13">
        <f t="shared" si="78"/>
        <v>-12.459669709437435</v>
      </c>
      <c r="F130" s="13">
        <f t="shared" si="78"/>
        <v>-15.919584850630486</v>
      </c>
      <c r="G130" s="13">
        <f t="shared" si="78"/>
        <v>-19.420393742315014</v>
      </c>
      <c r="H130" s="13">
        <f t="shared" si="78"/>
        <v>-23.044402498552927</v>
      </c>
      <c r="I130" s="13">
        <f t="shared" si="78"/>
        <v>-26.812298800477947</v>
      </c>
      <c r="J130" s="13">
        <f t="shared" si="78"/>
        <v>-30.773884338447715</v>
      </c>
      <c r="K130" s="13">
        <f t="shared" si="78"/>
        <v>-34.93739125561865</v>
      </c>
      <c r="L130" s="88">
        <f t="shared" si="70"/>
        <v>-182.6294271915408</v>
      </c>
    </row>
    <row r="131" spans="1:12">
      <c r="A131" s="6" t="s">
        <v>541</v>
      </c>
      <c r="B131" s="13">
        <f t="shared" si="78"/>
        <v>-3.5460514182465204</v>
      </c>
      <c r="C131" s="13">
        <f t="shared" si="78"/>
        <v>-9.9697122986170825</v>
      </c>
      <c r="D131" s="13">
        <f t="shared" si="78"/>
        <v>-15.228694538337777</v>
      </c>
      <c r="E131" s="13">
        <f t="shared" si="78"/>
        <v>-22.232501232971686</v>
      </c>
      <c r="F131" s="13">
        <f t="shared" si="78"/>
        <v>-30.506991636373982</v>
      </c>
      <c r="G131" s="13">
        <f t="shared" si="78"/>
        <v>-38.53619241440515</v>
      </c>
      <c r="H131" s="13">
        <f t="shared" si="78"/>
        <v>-46.780974843128433</v>
      </c>
      <c r="I131" s="13">
        <f t="shared" si="78"/>
        <v>-55.079864771112284</v>
      </c>
      <c r="J131" s="13">
        <f t="shared" si="78"/>
        <v>-63.775862175444331</v>
      </c>
      <c r="K131" s="13">
        <f t="shared" si="78"/>
        <v>-72.884493336361288</v>
      </c>
      <c r="L131" s="88">
        <f t="shared" si="70"/>
        <v>-358.54133866499853</v>
      </c>
    </row>
    <row r="132" spans="1:12">
      <c r="B132" s="13"/>
      <c r="C132" s="13"/>
      <c r="D132" s="13"/>
      <c r="E132" s="13"/>
      <c r="F132" s="13"/>
      <c r="G132" s="13"/>
      <c r="H132" s="13"/>
      <c r="I132" s="13"/>
      <c r="J132" s="13"/>
      <c r="K132" s="13"/>
      <c r="L132" s="88"/>
    </row>
    <row r="133" spans="1:12">
      <c r="B133" s="13"/>
      <c r="C133" s="13"/>
      <c r="D133" s="13"/>
      <c r="E133" s="13"/>
      <c r="F133" s="13"/>
      <c r="G133" s="13"/>
      <c r="H133" s="13"/>
      <c r="I133" s="13"/>
      <c r="J133" s="13"/>
      <c r="K133" s="13"/>
      <c r="L133" s="88"/>
    </row>
    <row r="134" spans="1:12">
      <c r="B134" s="13"/>
      <c r="C134" s="13"/>
      <c r="D134" s="13"/>
      <c r="E134" s="13"/>
      <c r="F134" s="13"/>
      <c r="G134" s="13"/>
      <c r="H134" s="13"/>
      <c r="I134" s="13"/>
      <c r="J134" s="13"/>
      <c r="K134" s="13"/>
      <c r="L134" s="88"/>
    </row>
    <row r="136" spans="1:12" s="235" customFormat="1" ht="9">
      <c r="A136" s="238" t="s">
        <v>148</v>
      </c>
      <c r="B136" s="239">
        <v>2022</v>
      </c>
      <c r="C136" s="239">
        <v>2023</v>
      </c>
      <c r="D136" s="239">
        <v>2024</v>
      </c>
      <c r="E136" s="239">
        <v>2025</v>
      </c>
      <c r="F136" s="239">
        <v>2026</v>
      </c>
      <c r="G136" s="239">
        <v>2027</v>
      </c>
      <c r="H136" s="239">
        <v>2028</v>
      </c>
      <c r="I136" s="239">
        <v>2029</v>
      </c>
      <c r="J136" s="239">
        <v>2030</v>
      </c>
      <c r="K136" s="239">
        <v>2031</v>
      </c>
    </row>
    <row r="137" spans="1:12" s="235" customFormat="1" ht="9">
      <c r="A137" s="235" t="s">
        <v>240</v>
      </c>
      <c r="B137" s="243">
        <f>Input_CMS_6!L14</f>
        <v>276.39999999999998</v>
      </c>
      <c r="C137" s="243">
        <f>Input_CMS_6!M14</f>
        <v>283.60000000000002</v>
      </c>
      <c r="D137" s="243">
        <f>Input_CMS_6!N14</f>
        <v>291</v>
      </c>
      <c r="E137" s="243">
        <f>Input_CMS_6!O14</f>
        <v>298.5</v>
      </c>
      <c r="F137" s="243">
        <f>Input_CMS_6!P14</f>
        <v>306.3</v>
      </c>
      <c r="G137" s="243">
        <f>Input_CMS_6!Q14</f>
        <v>314.3</v>
      </c>
      <c r="H137" s="243">
        <f>Input_CMS_6!R14</f>
        <v>322.39999999999998</v>
      </c>
      <c r="I137" s="243">
        <f>H137*(1+I138)</f>
        <v>330.78459166347108</v>
      </c>
      <c r="J137" s="243">
        <f>I137*(1+J138)</f>
        <v>339.3872397083415</v>
      </c>
      <c r="K137" s="243">
        <f>J137*(1+K138)</f>
        <v>348.21361508286702</v>
      </c>
    </row>
    <row r="138" spans="1:12">
      <c r="C138" s="269">
        <f t="shared" ref="C138:H138" si="79">C137/B137-1</f>
        <v>2.604920405209854E-2</v>
      </c>
      <c r="D138" s="269">
        <f t="shared" si="79"/>
        <v>2.6093088857545688E-2</v>
      </c>
      <c r="E138" s="269">
        <f t="shared" si="79"/>
        <v>2.5773195876288568E-2</v>
      </c>
      <c r="F138" s="269">
        <f t="shared" si="79"/>
        <v>2.6130653266331683E-2</v>
      </c>
      <c r="G138" s="269">
        <f t="shared" si="79"/>
        <v>2.611818478615735E-2</v>
      </c>
      <c r="H138" s="269">
        <f t="shared" si="79"/>
        <v>2.5771555838370874E-2</v>
      </c>
      <c r="I138" s="278">
        <f>AVERAGE($F$138:$H$138)</f>
        <v>2.600679796361997E-2</v>
      </c>
      <c r="J138" s="278">
        <f>AVERAGE($F$138:$H$138)</f>
        <v>2.600679796361997E-2</v>
      </c>
      <c r="K138" s="278">
        <f>AVERAGE($F$138:$H$138)</f>
        <v>2.600679796361997E-2</v>
      </c>
    </row>
    <row r="140" spans="1:12">
      <c r="B140" s="243"/>
      <c r="C140" s="243"/>
      <c r="D140" s="243"/>
      <c r="E140" s="243"/>
      <c r="F140" s="243"/>
      <c r="G140" s="243"/>
      <c r="H140" s="243"/>
    </row>
    <row r="141" spans="1:12">
      <c r="C141" s="7"/>
      <c r="D141" s="7"/>
      <c r="E141" s="7"/>
    </row>
    <row r="157" spans="1:1">
      <c r="A157" s="7"/>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93AE-925F-478D-87BA-49CFE6D90BF5}">
  <dimension ref="A2:J974"/>
  <sheetViews>
    <sheetView zoomScale="110" zoomScaleNormal="110" workbookViewId="0">
      <pane xSplit="1" ySplit="3" topLeftCell="B4" activePane="bottomRight" state="frozen"/>
      <selection activeCell="D7" sqref="D7"/>
      <selection pane="topRight" activeCell="D7" sqref="D7"/>
      <selection pane="bottomLeft" activeCell="D7" sqref="D7"/>
      <selection pane="bottomRight" activeCell="C14" sqref="C14"/>
    </sheetView>
  </sheetViews>
  <sheetFormatPr defaultColWidth="14.453125" defaultRowHeight="15" customHeight="1"/>
  <cols>
    <col min="1" max="1" width="38.26953125" style="411" bestFit="1" customWidth="1"/>
    <col min="2" max="2" width="15.7265625" style="411" customWidth="1"/>
    <col min="3" max="3" width="17.81640625" style="411" bestFit="1" customWidth="1"/>
    <col min="4" max="5" width="16.81640625" style="411" bestFit="1" customWidth="1"/>
    <col min="6" max="6" width="14.54296875" style="411" customWidth="1"/>
    <col min="7" max="7" width="15.81640625" style="411" customWidth="1"/>
    <col min="8" max="9" width="16.1796875" style="411" customWidth="1"/>
    <col min="10" max="11" width="20.453125" style="411" customWidth="1"/>
    <col min="12" max="26" width="8.7265625" style="411" customWidth="1"/>
    <col min="27" max="16384" width="14.453125" style="411"/>
  </cols>
  <sheetData>
    <row r="2" spans="1:10" ht="14.25" customHeight="1">
      <c r="A2" s="411" t="s">
        <v>578</v>
      </c>
      <c r="J2" s="411" t="s">
        <v>589</v>
      </c>
    </row>
    <row r="3" spans="1:10" ht="14.25" customHeight="1">
      <c r="A3" s="411" t="s">
        <v>590</v>
      </c>
      <c r="B3" s="411" t="s">
        <v>591</v>
      </c>
      <c r="C3" s="411">
        <v>2019</v>
      </c>
      <c r="D3" s="411">
        <v>2020</v>
      </c>
      <c r="E3" s="411">
        <v>2021</v>
      </c>
      <c r="F3" s="411">
        <v>2022</v>
      </c>
      <c r="G3" s="411">
        <v>2031</v>
      </c>
    </row>
    <row r="4" spans="1:10" ht="14.25" customHeight="1">
      <c r="A4" s="411" t="s">
        <v>579</v>
      </c>
      <c r="B4" s="411" t="s">
        <v>592</v>
      </c>
      <c r="C4" s="417">
        <f>1258022742</f>
        <v>1258022742</v>
      </c>
      <c r="D4" s="417">
        <v>1301732881</v>
      </c>
      <c r="E4" s="412">
        <f>D4*1.035</f>
        <v>1347293531.8349998</v>
      </c>
      <c r="F4" s="412">
        <f>E4*1.047</f>
        <v>1410616327.8312447</v>
      </c>
      <c r="G4" s="491">
        <f>F4*Input_CMS_6!$S$23</f>
        <v>2048570604.7135205</v>
      </c>
      <c r="H4" s="411" t="s">
        <v>593</v>
      </c>
    </row>
    <row r="5" spans="1:10" ht="14.25" customHeight="1">
      <c r="A5" s="411" t="s">
        <v>594</v>
      </c>
      <c r="B5" s="411" t="s">
        <v>595</v>
      </c>
      <c r="C5" s="418">
        <f>C4*0.03</f>
        <v>37740682.259999998</v>
      </c>
      <c r="D5" s="418">
        <f t="shared" ref="D5:F5" si="0">D4*0.03</f>
        <v>39051986.43</v>
      </c>
      <c r="E5" s="418">
        <f t="shared" si="0"/>
        <v>40418805.955049992</v>
      </c>
      <c r="F5" s="418">
        <f t="shared" si="0"/>
        <v>42318489.834937342</v>
      </c>
      <c r="G5" s="492">
        <f>G4*0.03</f>
        <v>61457118.141405612</v>
      </c>
    </row>
    <row r="6" spans="1:10" ht="14.25" customHeight="1">
      <c r="A6" s="411" t="s">
        <v>596</v>
      </c>
      <c r="B6" s="411" t="s">
        <v>597</v>
      </c>
      <c r="C6" s="412">
        <f>Input_FTB_Corporate!F34</f>
        <v>180571907.43700001</v>
      </c>
      <c r="D6" s="412">
        <f>C6*(1+(Input_CMS_6!J$23)/100)</f>
        <v>187433639.919606</v>
      </c>
      <c r="E6" s="412">
        <f>D6*(1+(Input_CMS_6!K23)/100)</f>
        <v>195305852.79622945</v>
      </c>
      <c r="F6" s="412">
        <f>E6*(1+(Input_CMS_6!L23)/100)</f>
        <v>204094616.17205977</v>
      </c>
      <c r="G6" s="491">
        <f>F6*Input_CMS_6!$S$23</f>
        <v>296396846.55655628</v>
      </c>
      <c r="H6" s="411" t="s">
        <v>598</v>
      </c>
    </row>
    <row r="7" spans="1:10" ht="14.25" customHeight="1">
      <c r="A7" s="411" t="s">
        <v>599</v>
      </c>
      <c r="B7" s="411" t="s">
        <v>600</v>
      </c>
      <c r="C7" s="412">
        <f>Input_FTB_Personal_Income!S63+Input_FTB_Personal_Income!AM63</f>
        <v>65278046</v>
      </c>
      <c r="D7" s="412">
        <f>C7*(1+(Input_CMS_6!J$23)/100)</f>
        <v>67758611.747999996</v>
      </c>
      <c r="E7" s="412">
        <f>D7*(1+(Input_CMS_6!K23)/100)</f>
        <v>70604473.441415995</v>
      </c>
      <c r="F7" s="412">
        <f>E7*(1+(Input_CMS_6!L23)/100)</f>
        <v>73781674.746279716</v>
      </c>
      <c r="G7" s="491">
        <f>F7*Input_CMS_6!$S$23</f>
        <v>107149596.2932343</v>
      </c>
    </row>
    <row r="8" spans="1:10" ht="14.25" customHeight="1">
      <c r="A8" s="411" t="s">
        <v>582</v>
      </c>
      <c r="B8" s="411" t="s">
        <v>600</v>
      </c>
      <c r="C8" s="412">
        <f>Input_FTB_Personal_Income!AE63</f>
        <v>143972274</v>
      </c>
      <c r="D8" s="412">
        <f>C8*(1+(Input_CMS_6!J23)/100)</f>
        <v>149443220.412</v>
      </c>
      <c r="E8" s="412">
        <f>D8*(1+(Input_CMS_6!K23)/100)</f>
        <v>155719835.66930401</v>
      </c>
      <c r="F8" s="412">
        <f>E8*(1+(Input_CMS_6!L23)/100)</f>
        <v>162727228.27442268</v>
      </c>
      <c r="G8" s="491">
        <f>F8*Input_CMS_6!$S$23</f>
        <v>236320968.25506872</v>
      </c>
    </row>
    <row r="9" spans="1:10" ht="14.25" customHeight="1">
      <c r="A9" s="411" t="s">
        <v>583</v>
      </c>
      <c r="B9" s="411" t="s">
        <v>600</v>
      </c>
      <c r="C9" s="412">
        <f>Input_FTB_Personal_Income!M63</f>
        <v>20492191</v>
      </c>
      <c r="D9" s="412">
        <f>C9*(1+(Input_CMS_6!J23)/100)</f>
        <v>21270894.258000001</v>
      </c>
      <c r="E9" s="412">
        <f>D9*(1+(Input_CMS_6!K23)/100)</f>
        <v>22164271.816836003</v>
      </c>
      <c r="F9" s="412">
        <f>E9*(1+(Input_CMS_6!L23)/100)</f>
        <v>23161664.048593622</v>
      </c>
      <c r="G9" s="491">
        <f>F9*Input_CMS_6!$S$23</f>
        <v>33636576.572985195</v>
      </c>
      <c r="I9" s="490"/>
    </row>
    <row r="10" spans="1:10" ht="14.25" customHeight="1">
      <c r="A10" s="411" t="s">
        <v>98</v>
      </c>
      <c r="C10" s="412">
        <f>SUM(C4:C9)</f>
        <v>1706077842.697</v>
      </c>
      <c r="D10" s="412">
        <f>SUM(D4:D9)</f>
        <v>1766691233.7676058</v>
      </c>
      <c r="E10" s="412">
        <f>SUM(E4:E9)</f>
        <v>1831506771.5138352</v>
      </c>
      <c r="F10" s="412">
        <f>SUM(F4:F9)</f>
        <v>1916700000.9075377</v>
      </c>
      <c r="G10" s="412">
        <f>SUM(G4:G9)</f>
        <v>2783531710.5327706</v>
      </c>
      <c r="I10" s="490"/>
    </row>
    <row r="11" spans="1:10" ht="14.25" customHeight="1">
      <c r="D11" s="490"/>
      <c r="E11" s="490"/>
      <c r="F11" s="490"/>
      <c r="G11" s="490"/>
      <c r="I11" s="490"/>
    </row>
    <row r="12" spans="1:10" ht="14.25" customHeight="1">
      <c r="C12" s="412"/>
      <c r="D12" s="412"/>
      <c r="E12" s="412"/>
      <c r="F12" s="412"/>
      <c r="G12" s="490"/>
      <c r="I12" s="490"/>
    </row>
    <row r="13" spans="1:10" ht="14.25" customHeight="1">
      <c r="C13" s="411">
        <v>2022</v>
      </c>
      <c r="D13" s="490"/>
      <c r="E13" s="490"/>
      <c r="F13" s="490"/>
      <c r="G13" s="490"/>
      <c r="I13" s="490"/>
    </row>
    <row r="14" spans="1:10" ht="14.25" customHeight="1">
      <c r="A14" s="411" t="s">
        <v>601</v>
      </c>
      <c r="C14" s="412">
        <f>Input_FTB_Personal_Income!H63*(1+Input_CMS_6!J24/100)*(1+Input_CMS_6!K24/100)*(1+Input_CMS_6!L24/100)</f>
        <v>1608333221.0932066</v>
      </c>
      <c r="D14" s="490"/>
      <c r="E14" s="490"/>
      <c r="F14" s="490"/>
      <c r="G14" s="490"/>
      <c r="I14" s="490"/>
    </row>
    <row r="15" spans="1:10" ht="14.25" customHeight="1"/>
    <row r="16" spans="1:10" ht="14.25" customHeight="1">
      <c r="B16" s="411">
        <v>2017</v>
      </c>
    </row>
    <row r="17" spans="1:5" ht="14.25" customHeight="1">
      <c r="A17" s="411" t="s">
        <v>602</v>
      </c>
      <c r="B17" s="419">
        <f>Input_Economic_Census!I33</f>
        <v>3793267020</v>
      </c>
      <c r="C17" s="412">
        <f>B17*(1+Input_CMS_6!H23/100)*(1+Input_CMS_6!I23/100)*(1+Input_CMS_6!J23/100)*(1+Input_CMS_6!K23/100)*(1+Input_CMS_6!L23/100)</f>
        <v>4708722619.8688412</v>
      </c>
      <c r="E17" s="420" t="s">
        <v>603</v>
      </c>
    </row>
    <row r="18" spans="1:5" ht="14.25" customHeight="1">
      <c r="A18" s="411" t="s">
        <v>604</v>
      </c>
    </row>
    <row r="19" spans="1:5" ht="14.25" customHeight="1">
      <c r="A19" s="411" t="s">
        <v>605</v>
      </c>
      <c r="B19" s="419">
        <f>Input_Economic_Census!I34</f>
        <v>3481954864</v>
      </c>
      <c r="C19" s="412">
        <f>B19*(1+Input_CMS_6!H23/100)*(1+Input_CMS_6!I23/100)*(1+Input_CMS_6!J23/100)*(1+Input_CMS_6!K23/100)*(1+Input_CMS_6!L23/100)</f>
        <v>4322279328.8828716</v>
      </c>
    </row>
    <row r="20" spans="1:5" ht="14.25" customHeight="1">
      <c r="A20" s="411" t="s">
        <v>606</v>
      </c>
      <c r="B20" s="419">
        <f>Input_Economic_Census!I35</f>
        <v>685756163</v>
      </c>
      <c r="C20" s="412">
        <f>B20*(1+Input_CMS_6!H23/100)*(1+Input_CMS_6!I23/100)*(1+Input_CMS_6!J23/100)*(1+Input_CMS_6!K23/100)*(1+Input_CMS_6!L23/100)</f>
        <v>851254483.11639369</v>
      </c>
      <c r="D20" s="412"/>
    </row>
    <row r="21" spans="1:5" ht="14.25" customHeight="1"/>
    <row r="22" spans="1:5" ht="14.25" customHeight="1">
      <c r="A22" s="411" t="s">
        <v>607</v>
      </c>
    </row>
    <row r="23" spans="1:5" ht="14.25" customHeight="1">
      <c r="A23" s="411" t="s">
        <v>608</v>
      </c>
      <c r="B23" s="411">
        <f>27.35+2.91+1.16</f>
        <v>31.42</v>
      </c>
    </row>
    <row r="24" spans="1:5" ht="14.25" customHeight="1">
      <c r="A24" s="411" t="s">
        <v>609</v>
      </c>
      <c r="B24" s="411">
        <v>0.17</v>
      </c>
    </row>
    <row r="25" spans="1:5" ht="14.25" customHeight="1">
      <c r="A25" s="411" t="s">
        <v>610</v>
      </c>
      <c r="B25" s="411">
        <v>0.79</v>
      </c>
    </row>
    <row r="26" spans="1:5" ht="14.25" customHeight="1">
      <c r="B26" s="411">
        <f>SUM(B24:B25)</f>
        <v>0.96000000000000008</v>
      </c>
      <c r="C26" s="421">
        <f>B26/B23</f>
        <v>3.0553787396562698E-2</v>
      </c>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sheetData>
  <hyperlinks>
    <hyperlink ref="E17" r:id="rId1" xr:uid="{C3ED4920-D1C8-43E6-AB26-18BF8D843219}"/>
  </hyperlinks>
  <pageMargins left="0.7" right="0.7" top="0.75" bottom="0.75" header="0" footer="0"/>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8E75C-7833-4194-8DA1-F4B05A9BD736}">
  <sheetPr>
    <outlinePr summaryBelow="0" summaryRight="0"/>
  </sheetPr>
  <dimension ref="A1:G17"/>
  <sheetViews>
    <sheetView topLeftCell="A5" workbookViewId="0">
      <selection activeCell="H30" sqref="H30"/>
    </sheetView>
  </sheetViews>
  <sheetFormatPr defaultColWidth="14.453125" defaultRowHeight="15" customHeight="1"/>
  <cols>
    <col min="1" max="1" width="40.81640625" style="413" customWidth="1"/>
    <col min="2" max="2" width="9.1796875" style="496" customWidth="1"/>
    <col min="3" max="3" width="6.7265625" style="413" customWidth="1"/>
    <col min="4" max="4" width="14.453125" style="413"/>
    <col min="5" max="5" width="14.453125" style="413" customWidth="1"/>
    <col min="6" max="6" width="14.453125" style="413" hidden="1" customWidth="1"/>
    <col min="7" max="16384" width="14.453125" style="413"/>
  </cols>
  <sheetData>
    <row r="1" spans="1:7" ht="15" customHeight="1">
      <c r="A1" s="411" t="s">
        <v>575</v>
      </c>
      <c r="B1" s="493" t="s">
        <v>1040</v>
      </c>
      <c r="C1" s="412"/>
      <c r="D1" s="413">
        <v>2022</v>
      </c>
      <c r="E1" s="413" t="s">
        <v>576</v>
      </c>
      <c r="F1" s="413" t="s">
        <v>577</v>
      </c>
    </row>
    <row r="2" spans="1:7" ht="15" customHeight="1">
      <c r="A2" s="411"/>
      <c r="B2" s="493"/>
      <c r="C2" s="412"/>
    </row>
    <row r="3" spans="1:7" ht="15" customHeight="1">
      <c r="A3" s="411" t="s">
        <v>578</v>
      </c>
      <c r="B3" s="494">
        <v>0.01</v>
      </c>
      <c r="C3" s="411"/>
      <c r="D3" s="411"/>
    </row>
    <row r="4" spans="1:7" ht="15" customHeight="1">
      <c r="A4" s="414" t="s">
        <v>579</v>
      </c>
      <c r="B4" s="495"/>
      <c r="C4" s="411"/>
      <c r="D4" s="412">
        <f>(UF_Calculations_9!$F$4*UF_Calculations_10!B3)/1000+UF_Calculations_9!F5*B3/1000</f>
        <v>14529.348176661819</v>
      </c>
      <c r="E4" s="412">
        <f>(UF_Calculations_9!G4*UF_Calculations_10!B3)/1000+UF_Calculations_9!G5*B3/1000</f>
        <v>21100.277228549261</v>
      </c>
    </row>
    <row r="5" spans="1:7" ht="15" customHeight="1">
      <c r="A5" s="414" t="s">
        <v>580</v>
      </c>
      <c r="B5" s="495"/>
      <c r="C5" s="411"/>
      <c r="D5" s="412">
        <f>((UF_Calculations_9!F6)*UF_Calculations_10!$B$3)/1000</f>
        <v>2040.946161720598</v>
      </c>
      <c r="E5" s="412">
        <f>((UF_Calculations_9!G6)*UF_Calculations_10!$B$3)/1000</f>
        <v>2963.9684655655628</v>
      </c>
    </row>
    <row r="6" spans="1:7" ht="15" customHeight="1">
      <c r="A6" s="414" t="s">
        <v>581</v>
      </c>
      <c r="B6" s="495"/>
      <c r="C6" s="411"/>
      <c r="D6" s="412">
        <f>(UF_Calculations_9!F7*UF_Calculations_10!$B$3)/1000</f>
        <v>737.81674746279725</v>
      </c>
      <c r="E6" s="412">
        <f>(UF_Calculations_9!G7*UF_Calculations_10!$B$3)/1000</f>
        <v>1071.4959629323432</v>
      </c>
    </row>
    <row r="7" spans="1:7" ht="15" customHeight="1">
      <c r="A7" s="414" t="s">
        <v>582</v>
      </c>
      <c r="B7" s="495"/>
      <c r="C7" s="411"/>
      <c r="D7" s="412">
        <f>(UF_Calculations_9!F8*UF_Calculations_10!$B$3)/1000</f>
        <v>1627.2722827442267</v>
      </c>
      <c r="E7" s="412">
        <f>(UF_Calculations_9!G8*UF_Calculations_10!$B$3)/1000</f>
        <v>2363.2096825506874</v>
      </c>
    </row>
    <row r="8" spans="1:7" ht="15" customHeight="1">
      <c r="A8" s="414" t="s">
        <v>583</v>
      </c>
      <c r="B8" s="495"/>
      <c r="C8" s="411"/>
      <c r="D8" s="412">
        <f>(UF_Calculations_9!F9*UF_Calculations_10!$B$3)/1000</f>
        <v>231.61664048593622</v>
      </c>
      <c r="E8" s="412">
        <f>(UF_Calculations_9!G9*UF_Calculations_10!$B$3)/1000</f>
        <v>336.36576572985194</v>
      </c>
    </row>
    <row r="9" spans="1:7" ht="15" customHeight="1">
      <c r="A9" s="411"/>
      <c r="B9" s="495"/>
      <c r="C9" s="411"/>
      <c r="D9" s="412">
        <f>SUM(D4:D8)</f>
        <v>19167.000009075378</v>
      </c>
      <c r="E9" s="412">
        <f>SUM(E4:E8)</f>
        <v>27835.317105327707</v>
      </c>
      <c r="G9" s="415"/>
    </row>
    <row r="10" spans="1:7" ht="15" customHeight="1">
      <c r="A10" s="411"/>
      <c r="B10" s="495"/>
      <c r="C10" s="411"/>
      <c r="D10" s="411"/>
      <c r="E10" s="411"/>
    </row>
    <row r="11" spans="1:7" ht="15" customHeight="1">
      <c r="A11" s="411" t="s">
        <v>584</v>
      </c>
      <c r="B11" s="494">
        <v>0.01</v>
      </c>
      <c r="C11" s="411"/>
      <c r="D11" s="412">
        <f>(UF_Calculations_9!$F$4*UF_Calculations_10!B11)/1000</f>
        <v>14106.163278312446</v>
      </c>
      <c r="E11" s="412">
        <f>(UF_Calculations_9!G4*UF_Calculations_10!B11)/1000</f>
        <v>20485.706047135205</v>
      </c>
      <c r="F11" s="412" t="e">
        <f>E11*(1-#REF!)</f>
        <v>#REF!</v>
      </c>
    </row>
    <row r="12" spans="1:7" ht="14.5">
      <c r="A12" s="411" t="s">
        <v>585</v>
      </c>
      <c r="B12" s="494">
        <v>0.01</v>
      </c>
      <c r="C12" s="411"/>
      <c r="D12" s="412">
        <f>(UF_Calculations_9!C17/1000)*UF_Calculations_10!B12</f>
        <v>47087.226198688411</v>
      </c>
      <c r="E12" s="412">
        <f>D12*Input_CMS_6!S23</f>
        <v>68382.525811560976</v>
      </c>
    </row>
    <row r="13" spans="1:7" ht="29">
      <c r="A13" s="416" t="s">
        <v>586</v>
      </c>
      <c r="B13" s="494">
        <v>0.01</v>
      </c>
      <c r="C13" s="411"/>
      <c r="D13" s="412">
        <f>UF_Calculations_9!C19/1000*UF_Calculations_10!B13</f>
        <v>43222.793288828711</v>
      </c>
      <c r="E13" s="412">
        <f>D13*Input_CMS_6!S23</f>
        <v>62770.394782851377</v>
      </c>
    </row>
    <row r="14" spans="1:7" ht="15" customHeight="1">
      <c r="A14" s="411"/>
      <c r="B14" s="495"/>
      <c r="C14" s="411"/>
      <c r="D14" s="412"/>
      <c r="E14" s="412"/>
    </row>
    <row r="15" spans="1:7" ht="15" customHeight="1">
      <c r="A15" s="411" t="s">
        <v>587</v>
      </c>
      <c r="B15" s="494">
        <v>0.01</v>
      </c>
      <c r="D15" s="412">
        <f>UF_Calculations_9!C20/1000*UF_Calculations_10!B15</f>
        <v>8512.5448311639375</v>
      </c>
      <c r="E15" s="412">
        <f>D15*Input_CMS_6!S23</f>
        <v>12362.361592141358</v>
      </c>
    </row>
    <row r="17" spans="1:5" ht="15" customHeight="1">
      <c r="A17" s="411" t="s">
        <v>588</v>
      </c>
      <c r="B17" s="494">
        <v>0.01</v>
      </c>
      <c r="D17" s="412">
        <f>B17*UF_Calculations_9!C14/1000</f>
        <v>16083.332210932067</v>
      </c>
      <c r="E17" s="412">
        <f>D17*Input_CMS_6!S23</f>
        <v>23357.053894174955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6"/>
  <sheetViews>
    <sheetView workbookViewId="0">
      <selection activeCell="N12" sqref="N12"/>
    </sheetView>
  </sheetViews>
  <sheetFormatPr defaultColWidth="9.1796875" defaultRowHeight="14.5"/>
  <cols>
    <col min="1" max="1" width="9.1796875" style="194"/>
    <col min="2" max="2" width="17" style="194" customWidth="1"/>
    <col min="3" max="3" width="8.81640625" style="194" customWidth="1"/>
    <col min="4" max="4" width="10.453125" style="194" bestFit="1" customWidth="1"/>
    <col min="5" max="5" width="9" style="194" bestFit="1" customWidth="1"/>
    <col min="6" max="9" width="9.1796875" style="194"/>
    <col min="10" max="10" width="10" style="194" bestFit="1" customWidth="1"/>
    <col min="11" max="16384" width="9.1796875" style="194"/>
  </cols>
  <sheetData>
    <row r="1" spans="1:12" ht="15" thickBot="1"/>
    <row r="2" spans="1:12" ht="15" customHeight="1">
      <c r="A2" s="516"/>
      <c r="B2" s="517" t="s">
        <v>193</v>
      </c>
      <c r="C2" s="502"/>
      <c r="D2" s="502"/>
      <c r="E2" s="502"/>
      <c r="F2" s="502"/>
      <c r="G2" s="502"/>
      <c r="H2" s="502"/>
      <c r="I2" s="503"/>
      <c r="J2" s="504"/>
    </row>
    <row r="3" spans="1:12">
      <c r="B3" s="195"/>
      <c r="D3" s="506"/>
      <c r="E3" s="505" t="s">
        <v>194</v>
      </c>
      <c r="F3" s="506"/>
      <c r="G3" s="506"/>
      <c r="H3" s="518"/>
      <c r="I3" s="505" t="s">
        <v>195</v>
      </c>
      <c r="J3" s="507"/>
    </row>
    <row r="4" spans="1:12">
      <c r="B4" s="195"/>
      <c r="C4" s="196" t="s">
        <v>196</v>
      </c>
      <c r="D4" s="197" t="s">
        <v>197</v>
      </c>
      <c r="E4" s="197" t="s">
        <v>198</v>
      </c>
      <c r="F4" s="197" t="s">
        <v>199</v>
      </c>
      <c r="G4" s="197" t="s">
        <v>200</v>
      </c>
      <c r="H4" s="196" t="s">
        <v>201</v>
      </c>
      <c r="I4" s="197" t="s">
        <v>202</v>
      </c>
      <c r="J4" s="198" t="s">
        <v>203</v>
      </c>
      <c r="L4" s="194" t="s">
        <v>282</v>
      </c>
    </row>
    <row r="5" spans="1:12">
      <c r="B5" s="199" t="s">
        <v>204</v>
      </c>
      <c r="C5" s="200">
        <v>16.488347999999998</v>
      </c>
      <c r="D5" s="201">
        <v>17.137530000000002</v>
      </c>
      <c r="E5" s="201">
        <v>17.717385</v>
      </c>
      <c r="F5" s="201">
        <v>18.899999999999999</v>
      </c>
      <c r="G5" s="201">
        <v>20</v>
      </c>
      <c r="H5" s="200">
        <v>19.399999999999999</v>
      </c>
      <c r="I5" s="201">
        <v>23</v>
      </c>
      <c r="J5" s="202">
        <v>25.9</v>
      </c>
      <c r="L5" s="207">
        <f>AVERAGE(H6/SUM(H5:H7),I6/SUM(I5:I7),J6/SUM(J5:J7))</f>
        <v>0.64513151427098014</v>
      </c>
    </row>
    <row r="6" spans="1:12">
      <c r="B6" s="199" t="s">
        <v>205</v>
      </c>
      <c r="C6" s="200">
        <v>33.816679000000001</v>
      </c>
      <c r="D6" s="201">
        <v>54.073811999999997</v>
      </c>
      <c r="E6" s="201">
        <v>55.133454</v>
      </c>
      <c r="F6" s="201">
        <v>59</v>
      </c>
      <c r="G6" s="201">
        <v>56.4</v>
      </c>
      <c r="H6" s="200">
        <v>58.7</v>
      </c>
      <c r="I6" s="201">
        <v>65.3</v>
      </c>
      <c r="J6" s="202">
        <v>66.7</v>
      </c>
    </row>
    <row r="7" spans="1:12" ht="15" thickBot="1">
      <c r="B7" s="203" t="s">
        <v>206</v>
      </c>
      <c r="C7" s="204">
        <v>5.6874599999999997</v>
      </c>
      <c r="D7" s="205">
        <v>8.2631619999999995</v>
      </c>
      <c r="E7" s="205">
        <v>8.3453359999999996</v>
      </c>
      <c r="F7" s="205">
        <v>11.5</v>
      </c>
      <c r="G7" s="205">
        <v>13.5</v>
      </c>
      <c r="H7" s="204">
        <v>12.9</v>
      </c>
      <c r="I7" s="205">
        <v>12.8</v>
      </c>
      <c r="J7" s="206">
        <v>10.9</v>
      </c>
    </row>
    <row r="8" spans="1:12">
      <c r="F8" s="207">
        <f>SUM(F5:F7)/SUM(E5:E7)-1</f>
        <v>0.10103708703026948</v>
      </c>
      <c r="G8" s="207">
        <f>SUM(G5:G7)/SUM(F5:F7)-1</f>
        <v>5.5928411633110464E-3</v>
      </c>
      <c r="H8" s="207">
        <f>SUM(H5:H7)/SUM(G5:G7)-1</f>
        <v>1.2235817575083408E-2</v>
      </c>
      <c r="I8" s="207">
        <f>SUM(I5:I7)/SUM(H5:H7)-1</f>
        <v>0.11098901098901082</v>
      </c>
      <c r="J8" s="207">
        <f>SUM(J5:J7)/SUM(I5:I7)-1</f>
        <v>2.3738872403560984E-2</v>
      </c>
    </row>
    <row r="9" spans="1:12">
      <c r="B9" s="194" t="s">
        <v>1060</v>
      </c>
      <c r="F9" s="207"/>
      <c r="G9" s="207"/>
      <c r="H9" s="207"/>
      <c r="I9" s="207"/>
      <c r="J9" s="207"/>
    </row>
    <row r="10" spans="1:12">
      <c r="B10" s="194" t="s">
        <v>1062</v>
      </c>
      <c r="F10" s="207"/>
      <c r="G10" s="207"/>
      <c r="H10" s="207"/>
      <c r="I10" s="207"/>
      <c r="J10" s="207"/>
    </row>
    <row r="11" spans="1:12">
      <c r="B11" s="194" t="s">
        <v>1061</v>
      </c>
      <c r="F11" s="207"/>
      <c r="G11" s="207"/>
      <c r="H11" s="207"/>
      <c r="I11" s="207"/>
      <c r="J11" s="207"/>
    </row>
    <row r="12" spans="1:12">
      <c r="B12" s="208" t="s">
        <v>207</v>
      </c>
      <c r="C12" s="208"/>
      <c r="D12" s="208"/>
      <c r="E12" s="208"/>
      <c r="F12" s="208"/>
      <c r="G12" s="208"/>
      <c r="H12" s="208"/>
      <c r="I12" s="208"/>
      <c r="J12" s="208"/>
    </row>
    <row r="13" spans="1:12">
      <c r="B13" s="194" t="s">
        <v>208</v>
      </c>
    </row>
    <row r="16" spans="1:12">
      <c r="B16" s="194" t="s">
        <v>209</v>
      </c>
      <c r="D16" s="194">
        <v>2014</v>
      </c>
      <c r="E16" s="194">
        <v>2015</v>
      </c>
      <c r="F16" s="194">
        <v>2016</v>
      </c>
      <c r="G16" s="194">
        <v>2017</v>
      </c>
      <c r="H16" s="194">
        <v>2018</v>
      </c>
      <c r="I16" s="194">
        <v>2019</v>
      </c>
      <c r="J16" s="194">
        <v>2020</v>
      </c>
    </row>
    <row r="17" spans="2:10">
      <c r="B17" s="194" t="s">
        <v>210</v>
      </c>
      <c r="D17" s="209">
        <f t="shared" ref="D17:J19" si="0">AVERAGE(C5:D5)*1000</f>
        <v>16812.938999999998</v>
      </c>
      <c r="E17" s="209">
        <f t="shared" si="0"/>
        <v>17427.457500000004</v>
      </c>
      <c r="F17" s="209">
        <f t="shared" si="0"/>
        <v>18308.692500000001</v>
      </c>
      <c r="G17" s="209">
        <f t="shared" si="0"/>
        <v>19450</v>
      </c>
      <c r="H17" s="209">
        <f t="shared" si="0"/>
        <v>19700</v>
      </c>
      <c r="I17" s="209">
        <f t="shared" si="0"/>
        <v>21200</v>
      </c>
      <c r="J17" s="209">
        <f t="shared" si="0"/>
        <v>24450</v>
      </c>
    </row>
    <row r="18" spans="2:10">
      <c r="B18" s="194" t="s">
        <v>211</v>
      </c>
      <c r="D18" s="209">
        <f t="shared" si="0"/>
        <v>43945.245499999997</v>
      </c>
      <c r="E18" s="209">
        <f t="shared" si="0"/>
        <v>54603.633000000002</v>
      </c>
      <c r="F18" s="209">
        <f t="shared" si="0"/>
        <v>57066.726999999999</v>
      </c>
      <c r="G18" s="209">
        <f t="shared" si="0"/>
        <v>57700</v>
      </c>
      <c r="H18" s="209">
        <f t="shared" si="0"/>
        <v>57550</v>
      </c>
      <c r="I18" s="209">
        <f t="shared" si="0"/>
        <v>62000</v>
      </c>
      <c r="J18" s="209">
        <f t="shared" si="0"/>
        <v>66000</v>
      </c>
    </row>
    <row r="19" spans="2:10">
      <c r="B19" s="194" t="s">
        <v>0</v>
      </c>
      <c r="D19" s="209">
        <f t="shared" si="0"/>
        <v>6975.3109999999997</v>
      </c>
      <c r="E19" s="209">
        <f t="shared" si="0"/>
        <v>8304.248999999998</v>
      </c>
      <c r="F19" s="209">
        <f t="shared" si="0"/>
        <v>9922.6679999999997</v>
      </c>
      <c r="G19" s="209">
        <f t="shared" si="0"/>
        <v>12500</v>
      </c>
      <c r="H19" s="209">
        <f t="shared" si="0"/>
        <v>13200</v>
      </c>
      <c r="I19" s="209">
        <f t="shared" si="0"/>
        <v>12850.000000000002</v>
      </c>
      <c r="J19" s="209">
        <f t="shared" si="0"/>
        <v>11850.000000000002</v>
      </c>
    </row>
    <row r="20" spans="2:10">
      <c r="B20" s="194" t="s">
        <v>98</v>
      </c>
      <c r="D20" s="209">
        <f>SUM(D17:D19)</f>
        <v>67733.49549999999</v>
      </c>
      <c r="E20" s="209">
        <f t="shared" ref="E20:J20" si="1">SUM(E17:E19)</f>
        <v>80335.339500000002</v>
      </c>
      <c r="F20" s="209">
        <f t="shared" si="1"/>
        <v>85298.087500000009</v>
      </c>
      <c r="G20" s="209">
        <f t="shared" si="1"/>
        <v>89650</v>
      </c>
      <c r="H20" s="209">
        <f t="shared" si="1"/>
        <v>90450</v>
      </c>
      <c r="I20" s="209">
        <f t="shared" si="1"/>
        <v>96050</v>
      </c>
      <c r="J20" s="209">
        <f t="shared" si="1"/>
        <v>102300</v>
      </c>
    </row>
    <row r="21" spans="2:10">
      <c r="B21" s="194" t="s">
        <v>213</v>
      </c>
      <c r="E21" s="207">
        <f t="shared" ref="E21:J21" si="2">E20/D20-1</f>
        <v>0.18605040101614145</v>
      </c>
      <c r="F21" s="207">
        <f t="shared" si="2"/>
        <v>6.1775403339149548E-2</v>
      </c>
      <c r="G21" s="207">
        <f t="shared" si="2"/>
        <v>5.1020047782431188E-2</v>
      </c>
      <c r="H21" s="207">
        <f t="shared" si="2"/>
        <v>8.9235917456775837E-3</v>
      </c>
      <c r="I21" s="207">
        <f t="shared" si="2"/>
        <v>6.1912658927584241E-2</v>
      </c>
      <c r="J21" s="207">
        <f t="shared" si="2"/>
        <v>6.5070275897969765E-2</v>
      </c>
    </row>
    <row r="23" spans="2:10">
      <c r="B23" s="194" t="s">
        <v>212</v>
      </c>
      <c r="E23" s="207">
        <f>Input_CMS_1!U23/100</f>
        <v>8.900000000000001E-2</v>
      </c>
      <c r="F23" s="207">
        <f>Input_CMS_1!V23/100</f>
        <v>4.0999999999999995E-2</v>
      </c>
      <c r="G23" s="207">
        <f>Input_CMS_1!W23/100</f>
        <v>2.4E-2</v>
      </c>
      <c r="H23" s="207">
        <f>Input_CMS_1!X23/100</f>
        <v>3.1E-2</v>
      </c>
      <c r="I23" s="207">
        <f>Input_CMS_1!Y23/100</f>
        <v>2.8999999999999998E-2</v>
      </c>
      <c r="J23" s="207">
        <f>Input_CMS_1!Z23/100</f>
        <v>0</v>
      </c>
    </row>
    <row r="26" spans="2:10">
      <c r="B26" s="194" t="s">
        <v>573</v>
      </c>
    </row>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5B39-B7FA-4361-B646-E3FB016BAA6B}">
  <dimension ref="A1:H24"/>
  <sheetViews>
    <sheetView workbookViewId="0">
      <selection activeCell="D7" sqref="D7"/>
    </sheetView>
  </sheetViews>
  <sheetFormatPr defaultRowHeight="14.5"/>
  <cols>
    <col min="1" max="1" width="38.453125" customWidth="1"/>
    <col min="2" max="2" width="17.54296875" bestFit="1" customWidth="1"/>
  </cols>
  <sheetData>
    <row r="1" spans="1:8">
      <c r="A1" t="s">
        <v>451</v>
      </c>
      <c r="B1" t="s">
        <v>456</v>
      </c>
    </row>
    <row r="2" spans="1:8">
      <c r="A2" t="s">
        <v>452</v>
      </c>
      <c r="B2" s="362">
        <v>551.6</v>
      </c>
    </row>
    <row r="3" spans="1:8">
      <c r="A3" t="s">
        <v>453</v>
      </c>
      <c r="B3" s="362">
        <v>288.2</v>
      </c>
    </row>
    <row r="4" spans="1:8">
      <c r="A4" t="s">
        <v>454</v>
      </c>
      <c r="B4" s="362">
        <v>38.6</v>
      </c>
      <c r="C4" s="274"/>
    </row>
    <row r="5" spans="1:8">
      <c r="A5" t="s">
        <v>455</v>
      </c>
      <c r="B5" s="362">
        <v>187.8</v>
      </c>
      <c r="C5" s="274"/>
    </row>
    <row r="6" spans="1:8">
      <c r="B6" s="362">
        <f>SUM(B2:B5)</f>
        <v>1066.2</v>
      </c>
    </row>
    <row r="7" spans="1:8">
      <c r="A7" t="s">
        <v>571</v>
      </c>
    </row>
    <row r="9" spans="1:8" s="7" customFormat="1">
      <c r="A9" s="222" t="s">
        <v>457</v>
      </c>
      <c r="B9" s="269">
        <f>18538700/158000000</f>
        <v>0.11733354430379747</v>
      </c>
      <c r="C9" s="363" t="s">
        <v>458</v>
      </c>
      <c r="H9" s="364"/>
    </row>
    <row r="10" spans="1:8" s="7" customFormat="1">
      <c r="A10"/>
      <c r="B10" s="275"/>
      <c r="C10" s="363"/>
      <c r="H10" s="364"/>
    </row>
    <row r="11" spans="1:8" s="7" customFormat="1">
      <c r="A11" s="222" t="s">
        <v>459</v>
      </c>
      <c r="B11" s="13">
        <v>6939</v>
      </c>
      <c r="H11" s="364"/>
    </row>
    <row r="12" spans="1:8" s="7" customFormat="1">
      <c r="A12" s="222" t="s">
        <v>460</v>
      </c>
      <c r="B12" s="13">
        <v>6972</v>
      </c>
      <c r="C12"/>
      <c r="H12" s="364"/>
    </row>
    <row r="13" spans="1:8" s="7" customFormat="1">
      <c r="A13" s="222" t="s">
        <v>572</v>
      </c>
      <c r="B13" s="269">
        <f>B11/B12</f>
        <v>0.99526678141135971</v>
      </c>
      <c r="C13"/>
      <c r="H13" s="364"/>
    </row>
    <row r="14" spans="1:8" s="7" customFormat="1">
      <c r="A14" t="s">
        <v>461</v>
      </c>
      <c r="B14"/>
      <c r="C14"/>
      <c r="H14" s="364"/>
    </row>
    <row r="15" spans="1:8" s="7" customFormat="1">
      <c r="A15"/>
      <c r="B15"/>
      <c r="C15"/>
      <c r="H15" s="364"/>
    </row>
    <row r="16" spans="1:8" s="7" customFormat="1">
      <c r="A16" t="s">
        <v>472</v>
      </c>
      <c r="B16" s="274">
        <f>B6*B9*B13</f>
        <v>124.50889444002048</v>
      </c>
      <c r="C16"/>
      <c r="H16" s="364"/>
    </row>
    <row r="17" spans="1:8" s="7" customFormat="1">
      <c r="A17" s="7" t="s">
        <v>462</v>
      </c>
      <c r="B17" s="364">
        <f>B16*C17</f>
        <v>98.411559488166901</v>
      </c>
      <c r="C17" s="261">
        <f>(B23*D23+C23*E22)/(B22*D22+C22*E22)</f>
        <v>0.79039782604105102</v>
      </c>
      <c r="D17" t="s">
        <v>463</v>
      </c>
      <c r="H17" s="364"/>
    </row>
    <row r="18" spans="1:8" s="7" customFormat="1">
      <c r="A18" s="7" t="s">
        <v>464</v>
      </c>
      <c r="B18" s="364">
        <f>B16-B17</f>
        <v>26.097334951853583</v>
      </c>
      <c r="H18" s="364"/>
    </row>
    <row r="19" spans="1:8">
      <c r="A19" s="7"/>
      <c r="B19" s="364"/>
      <c r="C19" s="7"/>
      <c r="D19" s="7"/>
      <c r="E19" s="7"/>
      <c r="F19" s="7"/>
    </row>
    <row r="20" spans="1:8">
      <c r="A20" s="7"/>
      <c r="B20" t="s">
        <v>465</v>
      </c>
      <c r="D20" t="s">
        <v>570</v>
      </c>
    </row>
    <row r="21" spans="1:8">
      <c r="B21" t="s">
        <v>466</v>
      </c>
      <c r="C21" t="s">
        <v>467</v>
      </c>
      <c r="D21" t="s">
        <v>466</v>
      </c>
      <c r="E21" t="s">
        <v>467</v>
      </c>
    </row>
    <row r="22" spans="1:8">
      <c r="A22" t="s">
        <v>468</v>
      </c>
      <c r="B22" s="13">
        <v>8711.6006186578106</v>
      </c>
      <c r="C22" s="13">
        <v>20843.236813908152</v>
      </c>
      <c r="D22" s="354">
        <v>5959554.47252772</v>
      </c>
      <c r="E22" s="354">
        <v>6621486.1841895413</v>
      </c>
      <c r="F22" t="s">
        <v>469</v>
      </c>
    </row>
    <row r="23" spans="1:8">
      <c r="A23" t="s">
        <v>470</v>
      </c>
      <c r="B23" s="13">
        <v>7713.1263547285907</v>
      </c>
      <c r="C23" s="13">
        <v>15729.675410275137</v>
      </c>
      <c r="D23" s="354">
        <v>5959554.47252772</v>
      </c>
      <c r="E23" s="354">
        <v>6596919.0938051837</v>
      </c>
    </row>
    <row r="24" spans="1:8">
      <c r="A24" t="s">
        <v>471</v>
      </c>
    </row>
  </sheetData>
  <hyperlinks>
    <hyperlink ref="C9" r:id="rId1" xr:uid="{354DC00B-B846-4582-97B3-A4E1F846157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5"/>
  <sheetViews>
    <sheetView workbookViewId="0">
      <selection activeCell="D7" sqref="D7"/>
    </sheetView>
  </sheetViews>
  <sheetFormatPr defaultColWidth="20.7265625" defaultRowHeight="12.5"/>
  <cols>
    <col min="1" max="1" width="20.7265625" style="265" customWidth="1"/>
    <col min="2" max="16384" width="20.7265625" style="265"/>
  </cols>
  <sheetData>
    <row r="1" spans="1:2">
      <c r="A1" s="265" t="s">
        <v>254</v>
      </c>
    </row>
    <row r="2" spans="1:2">
      <c r="A2" s="265" t="s">
        <v>255</v>
      </c>
    </row>
    <row r="3" spans="1:2">
      <c r="A3" s="265" t="s">
        <v>256</v>
      </c>
    </row>
    <row r="4" spans="1:2">
      <c r="A4" s="265" t="s">
        <v>257</v>
      </c>
    </row>
    <row r="5" spans="1:2">
      <c r="A5" s="265" t="s">
        <v>258</v>
      </c>
    </row>
    <row r="6" spans="1:2">
      <c r="A6" s="265" t="s">
        <v>259</v>
      </c>
    </row>
    <row r="8" spans="1:2">
      <c r="A8" s="265" t="s">
        <v>260</v>
      </c>
      <c r="B8" s="265" t="s">
        <v>261</v>
      </c>
    </row>
    <row r="10" spans="1:2">
      <c r="A10" s="265" t="s">
        <v>262</v>
      </c>
    </row>
    <row r="11" spans="1:2">
      <c r="A11" s="265" t="s">
        <v>263</v>
      </c>
      <c r="B11" s="265" t="s">
        <v>260</v>
      </c>
    </row>
    <row r="12" spans="1:2">
      <c r="A12" s="266">
        <v>35431</v>
      </c>
      <c r="B12" s="267">
        <v>1071327.2</v>
      </c>
    </row>
    <row r="13" spans="1:2">
      <c r="A13" s="266">
        <v>35796</v>
      </c>
      <c r="B13" s="267">
        <v>1147944.3</v>
      </c>
    </row>
    <row r="14" spans="1:2">
      <c r="A14" s="266">
        <v>36161</v>
      </c>
      <c r="B14" s="267">
        <v>1247734.3999999999</v>
      </c>
    </row>
    <row r="15" spans="1:2">
      <c r="A15" s="266">
        <v>36526</v>
      </c>
      <c r="B15" s="267">
        <v>1366166.5</v>
      </c>
    </row>
    <row r="16" spans="1:2">
      <c r="A16" s="266">
        <v>36892</v>
      </c>
      <c r="B16" s="267">
        <v>1387551.8</v>
      </c>
    </row>
    <row r="17" spans="1:2">
      <c r="A17" s="266">
        <v>37257</v>
      </c>
      <c r="B17" s="267">
        <v>1439341.7</v>
      </c>
    </row>
    <row r="18" spans="1:2">
      <c r="A18" s="266">
        <v>37622</v>
      </c>
      <c r="B18" s="267">
        <v>1530559.8</v>
      </c>
    </row>
    <row r="19" spans="1:2">
      <c r="A19" s="266">
        <v>37987</v>
      </c>
      <c r="B19" s="267">
        <v>1632428.7</v>
      </c>
    </row>
    <row r="20" spans="1:2">
      <c r="A20" s="266">
        <v>38353</v>
      </c>
      <c r="B20" s="267">
        <v>1752648.9</v>
      </c>
    </row>
    <row r="21" spans="1:2">
      <c r="A21" s="266">
        <v>38718</v>
      </c>
      <c r="B21" s="267">
        <v>1874851.3</v>
      </c>
    </row>
    <row r="22" spans="1:2">
      <c r="A22" s="266">
        <v>39083</v>
      </c>
      <c r="B22" s="267">
        <v>1955320.9</v>
      </c>
    </row>
    <row r="23" spans="1:2">
      <c r="A23" s="266">
        <v>39448</v>
      </c>
      <c r="B23" s="267">
        <v>1990187.9</v>
      </c>
    </row>
    <row r="24" spans="1:2">
      <c r="A24" s="266">
        <v>39814</v>
      </c>
      <c r="B24" s="267">
        <v>1919271.1</v>
      </c>
    </row>
    <row r="25" spans="1:2">
      <c r="A25" s="266">
        <v>40179</v>
      </c>
      <c r="B25" s="267">
        <v>1973511.9</v>
      </c>
    </row>
    <row r="26" spans="1:2">
      <c r="A26" s="266">
        <v>40544</v>
      </c>
      <c r="B26" s="267">
        <v>2049336.8</v>
      </c>
    </row>
    <row r="27" spans="1:2">
      <c r="A27" s="266">
        <v>40909</v>
      </c>
      <c r="B27" s="267">
        <v>2144089.6</v>
      </c>
    </row>
    <row r="28" spans="1:2">
      <c r="A28" s="266">
        <v>41275</v>
      </c>
      <c r="B28" s="267">
        <v>2261510.6</v>
      </c>
    </row>
    <row r="29" spans="1:2">
      <c r="A29" s="266">
        <v>41640</v>
      </c>
      <c r="B29" s="267">
        <v>2399077.7000000002</v>
      </c>
    </row>
    <row r="30" spans="1:2">
      <c r="A30" s="266">
        <v>42005</v>
      </c>
      <c r="B30" s="267">
        <v>2559643.2000000002</v>
      </c>
    </row>
    <row r="31" spans="1:2">
      <c r="A31" s="266">
        <v>42370</v>
      </c>
      <c r="B31" s="267">
        <v>2671100.5</v>
      </c>
    </row>
    <row r="32" spans="1:2">
      <c r="A32" s="266">
        <v>42736</v>
      </c>
      <c r="B32" s="267">
        <v>2831038.4</v>
      </c>
    </row>
    <row r="33" spans="1:2">
      <c r="A33" s="266">
        <v>43101</v>
      </c>
      <c r="B33" s="267">
        <v>2975083</v>
      </c>
    </row>
    <row r="34" spans="1:2">
      <c r="A34" s="266">
        <v>43466</v>
      </c>
      <c r="B34" s="267">
        <v>3132800.6</v>
      </c>
    </row>
    <row r="35" spans="1:2">
      <c r="A35" s="266">
        <v>43831</v>
      </c>
      <c r="B35" s="267">
        <v>3091871.5</v>
      </c>
    </row>
  </sheetData>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33"/>
  <sheetViews>
    <sheetView zoomScale="120" zoomScaleNormal="120" workbookViewId="0">
      <pane xSplit="1" ySplit="3" topLeftCell="B17" activePane="bottomRight" state="frozen"/>
      <selection activeCell="D7" sqref="D7"/>
      <selection pane="topRight" activeCell="D7" sqref="D7"/>
      <selection pane="bottomLeft" activeCell="D7" sqref="D7"/>
      <selection pane="bottomRight" activeCell="C36" sqref="C36"/>
    </sheetView>
  </sheetViews>
  <sheetFormatPr defaultColWidth="8.81640625" defaultRowHeight="14.5"/>
  <cols>
    <col min="1" max="1" width="42.453125" customWidth="1"/>
    <col min="2" max="3" width="5.453125" customWidth="1"/>
    <col min="4" max="25" width="6.453125" customWidth="1"/>
  </cols>
  <sheetData>
    <row r="1" spans="1:27" ht="36.75" customHeight="1">
      <c r="A1" s="128" t="s">
        <v>147</v>
      </c>
      <c r="B1" s="128"/>
      <c r="C1" s="128"/>
      <c r="D1" s="128"/>
      <c r="E1" s="128"/>
      <c r="F1" s="128"/>
      <c r="G1" s="128"/>
      <c r="H1" s="128"/>
      <c r="I1" s="128"/>
      <c r="J1" s="128"/>
      <c r="K1" s="128"/>
      <c r="L1" s="128"/>
      <c r="M1" s="128"/>
      <c r="N1" s="128"/>
      <c r="O1" s="128"/>
      <c r="P1" s="128"/>
      <c r="Q1" s="128"/>
      <c r="R1" s="128"/>
      <c r="S1" s="129"/>
      <c r="T1" s="129"/>
      <c r="U1" s="129"/>
      <c r="V1" s="129"/>
      <c r="W1" s="129"/>
      <c r="X1" s="129"/>
      <c r="Y1" s="129"/>
    </row>
    <row r="2" spans="1:27">
      <c r="A2" s="130" t="s">
        <v>148</v>
      </c>
      <c r="B2" s="131">
        <v>1960</v>
      </c>
      <c r="C2" s="132">
        <v>1970</v>
      </c>
      <c r="D2" s="131">
        <v>1980</v>
      </c>
      <c r="E2" s="131">
        <v>1990</v>
      </c>
      <c r="F2" s="131">
        <v>2000</v>
      </c>
      <c r="G2" s="131">
        <v>2001</v>
      </c>
      <c r="H2" s="131">
        <v>2002</v>
      </c>
      <c r="I2" s="131">
        <v>2003</v>
      </c>
      <c r="J2" s="131">
        <v>2004</v>
      </c>
      <c r="K2" s="131">
        <v>2005</v>
      </c>
      <c r="L2" s="131">
        <v>2006</v>
      </c>
      <c r="M2" s="131">
        <v>2007</v>
      </c>
      <c r="N2" s="131">
        <v>2008</v>
      </c>
      <c r="O2" s="131">
        <v>2009</v>
      </c>
      <c r="P2" s="131">
        <v>2010</v>
      </c>
      <c r="Q2" s="131">
        <v>2011</v>
      </c>
      <c r="R2" s="131">
        <v>2012</v>
      </c>
      <c r="S2" s="131">
        <v>2013</v>
      </c>
      <c r="T2" s="131">
        <v>2014</v>
      </c>
      <c r="U2" s="131">
        <v>2015</v>
      </c>
      <c r="V2" s="131">
        <v>2016</v>
      </c>
      <c r="W2" s="131">
        <v>2017</v>
      </c>
      <c r="X2" s="131">
        <v>2018</v>
      </c>
      <c r="Y2" s="131">
        <v>2019</v>
      </c>
    </row>
    <row r="3" spans="1:27">
      <c r="A3" s="92"/>
      <c r="B3" s="133" t="s">
        <v>24</v>
      </c>
      <c r="C3" s="134"/>
      <c r="D3" s="134"/>
      <c r="E3" s="134"/>
      <c r="F3" s="134"/>
      <c r="G3" s="134"/>
      <c r="H3" s="129"/>
      <c r="I3" s="134"/>
      <c r="J3" s="134"/>
      <c r="K3" s="134"/>
      <c r="L3" s="134"/>
      <c r="M3" s="134"/>
      <c r="N3" s="134"/>
      <c r="O3" s="134"/>
      <c r="P3" s="134"/>
      <c r="Q3" s="135"/>
      <c r="R3" s="134"/>
      <c r="S3" s="134"/>
      <c r="T3" s="135"/>
      <c r="U3" s="135"/>
      <c r="V3" s="135"/>
      <c r="W3" s="135"/>
      <c r="X3" s="135"/>
      <c r="Y3" s="135"/>
    </row>
    <row r="4" spans="1:27">
      <c r="A4" s="136" t="s">
        <v>149</v>
      </c>
      <c r="B4" s="108">
        <v>27.1</v>
      </c>
      <c r="C4" s="108">
        <v>74.099999999999994</v>
      </c>
      <c r="D4" s="108">
        <v>253.2</v>
      </c>
      <c r="E4" s="108">
        <v>718.8</v>
      </c>
      <c r="F4" s="108">
        <v>1365.6</v>
      </c>
      <c r="G4" s="108">
        <v>1482.9</v>
      </c>
      <c r="H4" s="108">
        <v>1630.6</v>
      </c>
      <c r="I4" s="108">
        <v>1769.8</v>
      </c>
      <c r="J4" s="108">
        <v>1899.5</v>
      </c>
      <c r="K4" s="108">
        <v>2029.5</v>
      </c>
      <c r="L4" s="108">
        <v>2166.3000000000002</v>
      </c>
      <c r="M4" s="108">
        <v>2305.1</v>
      </c>
      <c r="N4" s="108">
        <v>2402.5</v>
      </c>
      <c r="O4" s="108">
        <v>2492.8000000000002</v>
      </c>
      <c r="P4" s="108">
        <v>2589.6999999999998</v>
      </c>
      <c r="Q4" s="108">
        <v>2676.4</v>
      </c>
      <c r="R4" s="108">
        <v>2783.1</v>
      </c>
      <c r="S4" s="108">
        <v>2859.5</v>
      </c>
      <c r="T4" s="108">
        <v>3008.3</v>
      </c>
      <c r="U4" s="108">
        <v>3177.7</v>
      </c>
      <c r="V4" s="108">
        <v>3324.5</v>
      </c>
      <c r="W4" s="108">
        <v>3465.9</v>
      </c>
      <c r="X4" s="108">
        <v>3629.7</v>
      </c>
      <c r="Y4" s="108">
        <v>3795.4</v>
      </c>
    </row>
    <row r="5" spans="1:27">
      <c r="A5" s="137" t="s">
        <v>150</v>
      </c>
      <c r="B5" s="138">
        <v>24.6</v>
      </c>
      <c r="C5" s="139">
        <v>66.3</v>
      </c>
      <c r="D5" s="139">
        <v>232.7</v>
      </c>
      <c r="E5" s="139">
        <v>670.2</v>
      </c>
      <c r="F5" s="139">
        <v>1279.9000000000001</v>
      </c>
      <c r="G5" s="139">
        <v>1393</v>
      </c>
      <c r="H5" s="139">
        <v>1529.1</v>
      </c>
      <c r="I5" s="139">
        <v>1661.3</v>
      </c>
      <c r="J5" s="139">
        <v>1782.6</v>
      </c>
      <c r="K5" s="139">
        <v>1904</v>
      </c>
      <c r="L5" s="139">
        <v>2033.3</v>
      </c>
      <c r="M5" s="139">
        <v>2158.9</v>
      </c>
      <c r="N5" s="139">
        <v>2246.1999999999998</v>
      </c>
      <c r="O5" s="139">
        <v>2345.6</v>
      </c>
      <c r="P5" s="139">
        <v>2437.6</v>
      </c>
      <c r="Q5" s="139">
        <v>2517.6999999999998</v>
      </c>
      <c r="R5" s="139">
        <v>2619.9</v>
      </c>
      <c r="S5" s="139">
        <v>2696.4</v>
      </c>
      <c r="T5" s="139">
        <v>2848.7</v>
      </c>
      <c r="U5" s="139">
        <v>3013.7</v>
      </c>
      <c r="V5" s="139">
        <v>3157.5</v>
      </c>
      <c r="W5" s="139">
        <v>3284.4</v>
      </c>
      <c r="X5" s="139">
        <v>3439.5</v>
      </c>
      <c r="Y5" s="139">
        <v>3593.7</v>
      </c>
    </row>
    <row r="6" spans="1:27">
      <c r="A6" s="92" t="s">
        <v>151</v>
      </c>
      <c r="B6" s="138">
        <v>12.8</v>
      </c>
      <c r="C6" s="139">
        <v>24.2</v>
      </c>
      <c r="D6" s="139">
        <v>55.2</v>
      </c>
      <c r="E6" s="139">
        <v>133.5</v>
      </c>
      <c r="F6" s="139">
        <v>193.4</v>
      </c>
      <c r="G6" s="139">
        <v>200.7</v>
      </c>
      <c r="H6" s="139">
        <v>219.1</v>
      </c>
      <c r="I6" s="139">
        <v>235.1</v>
      </c>
      <c r="J6" s="139">
        <v>249.2</v>
      </c>
      <c r="K6" s="139">
        <v>265</v>
      </c>
      <c r="L6" s="139">
        <v>278.10000000000002</v>
      </c>
      <c r="M6" s="139">
        <v>293.39999999999998</v>
      </c>
      <c r="N6" s="139">
        <v>299.89999999999998</v>
      </c>
      <c r="O6" s="139">
        <v>296.5</v>
      </c>
      <c r="P6" s="139">
        <v>301.39999999999998</v>
      </c>
      <c r="Q6" s="139">
        <v>310.2</v>
      </c>
      <c r="R6" s="139">
        <v>323.10000000000002</v>
      </c>
      <c r="S6" s="139">
        <v>330.4</v>
      </c>
      <c r="T6" s="139">
        <v>339.9</v>
      </c>
      <c r="U6" s="139">
        <v>353.8</v>
      </c>
      <c r="V6" s="139">
        <v>367.3</v>
      </c>
      <c r="W6" s="139">
        <v>374.5</v>
      </c>
      <c r="X6" s="139">
        <v>388.8</v>
      </c>
      <c r="Y6" s="139">
        <v>406.5</v>
      </c>
      <c r="AA6" s="342"/>
    </row>
    <row r="7" spans="1:27">
      <c r="A7" s="92" t="s">
        <v>152</v>
      </c>
      <c r="B7" s="138">
        <v>7.3</v>
      </c>
      <c r="C7" s="139">
        <v>31.4</v>
      </c>
      <c r="D7" s="139">
        <v>140.19999999999999</v>
      </c>
      <c r="E7" s="139">
        <v>431.3</v>
      </c>
      <c r="F7" s="139">
        <v>901.5</v>
      </c>
      <c r="G7" s="139">
        <v>995.3</v>
      </c>
      <c r="H7" s="139">
        <v>1097.5999999999999</v>
      </c>
      <c r="I7" s="139">
        <v>1195.5</v>
      </c>
      <c r="J7" s="139">
        <v>1292.3</v>
      </c>
      <c r="K7" s="139">
        <v>1387.2</v>
      </c>
      <c r="L7" s="139">
        <v>1487.7</v>
      </c>
      <c r="M7" s="139">
        <v>1581.9</v>
      </c>
      <c r="N7" s="139">
        <v>1663.3</v>
      </c>
      <c r="O7" s="139">
        <v>1758.6</v>
      </c>
      <c r="P7" s="139">
        <v>1832.6</v>
      </c>
      <c r="Q7" s="139">
        <v>1902.6</v>
      </c>
      <c r="R7" s="139">
        <v>1971.5</v>
      </c>
      <c r="S7" s="139">
        <v>2021.3</v>
      </c>
      <c r="T7" s="139">
        <v>2155.1999999999998</v>
      </c>
      <c r="U7" s="139">
        <v>2293.3000000000002</v>
      </c>
      <c r="V7" s="139">
        <v>2405.6</v>
      </c>
      <c r="W7" s="139">
        <v>2506.1</v>
      </c>
      <c r="X7" s="139">
        <v>2633.8</v>
      </c>
      <c r="Y7" s="139">
        <v>2752.8</v>
      </c>
    </row>
    <row r="8" spans="1:27">
      <c r="A8" s="92" t="s">
        <v>153</v>
      </c>
      <c r="B8" s="138">
        <v>5.6</v>
      </c>
      <c r="C8" s="139">
        <v>15.1</v>
      </c>
      <c r="D8" s="139">
        <v>67.099999999999994</v>
      </c>
      <c r="E8" s="139">
        <v>226.1</v>
      </c>
      <c r="F8" s="139">
        <v>440.4</v>
      </c>
      <c r="G8" s="139">
        <v>482.8</v>
      </c>
      <c r="H8" s="139">
        <v>537</v>
      </c>
      <c r="I8" s="139">
        <v>588.9</v>
      </c>
      <c r="J8" s="139">
        <v>630.4</v>
      </c>
      <c r="K8" s="139">
        <v>674.2</v>
      </c>
      <c r="L8" s="139">
        <v>707.3</v>
      </c>
      <c r="M8" s="139">
        <v>748.7</v>
      </c>
      <c r="N8" s="139">
        <v>770</v>
      </c>
      <c r="O8" s="139">
        <v>795.1</v>
      </c>
      <c r="P8" s="139">
        <v>820.1</v>
      </c>
      <c r="Q8" s="139">
        <v>851.1</v>
      </c>
      <c r="R8" s="139">
        <v>877.9</v>
      </c>
      <c r="S8" s="139">
        <v>881.3</v>
      </c>
      <c r="T8" s="139">
        <v>926.9</v>
      </c>
      <c r="U8" s="139">
        <v>981.6</v>
      </c>
      <c r="V8" s="139">
        <v>1039.5999999999999</v>
      </c>
      <c r="W8" s="139">
        <v>1091.0999999999999</v>
      </c>
      <c r="X8" s="139">
        <v>1152.2</v>
      </c>
      <c r="Y8" s="139">
        <v>1195.0999999999999</v>
      </c>
    </row>
    <row r="9" spans="1:27">
      <c r="A9" s="92" t="s">
        <v>154</v>
      </c>
      <c r="B9" s="138">
        <v>0</v>
      </c>
      <c r="C9" s="139">
        <v>7.7</v>
      </c>
      <c r="D9" s="139">
        <v>37.4</v>
      </c>
      <c r="E9" s="139">
        <v>110.2</v>
      </c>
      <c r="F9" s="139">
        <v>224.8</v>
      </c>
      <c r="G9" s="139">
        <v>247.7</v>
      </c>
      <c r="H9" s="139">
        <v>265.39999999999998</v>
      </c>
      <c r="I9" s="139">
        <v>282.7</v>
      </c>
      <c r="J9" s="139">
        <v>311.10000000000002</v>
      </c>
      <c r="K9" s="139">
        <v>339.8</v>
      </c>
      <c r="L9" s="139">
        <v>403.7</v>
      </c>
      <c r="M9" s="139">
        <v>432.7</v>
      </c>
      <c r="N9" s="139">
        <v>467</v>
      </c>
      <c r="O9" s="139">
        <v>498.6</v>
      </c>
      <c r="P9" s="139">
        <v>519.5</v>
      </c>
      <c r="Q9" s="139">
        <v>544.6</v>
      </c>
      <c r="R9" s="139">
        <v>568.4</v>
      </c>
      <c r="S9" s="139">
        <v>588.9</v>
      </c>
      <c r="T9" s="139">
        <v>617.6</v>
      </c>
      <c r="U9" s="139">
        <v>647.79999999999995</v>
      </c>
      <c r="V9" s="139">
        <v>675.8</v>
      </c>
      <c r="W9" s="139">
        <v>704.7</v>
      </c>
      <c r="X9" s="139">
        <v>749.1</v>
      </c>
      <c r="Y9" s="139">
        <v>799.4</v>
      </c>
    </row>
    <row r="10" spans="1:27">
      <c r="A10" s="140" t="s">
        <v>155</v>
      </c>
      <c r="B10" s="138">
        <v>0</v>
      </c>
      <c r="C10" s="139">
        <v>5.3</v>
      </c>
      <c r="D10" s="139">
        <v>26</v>
      </c>
      <c r="E10" s="139">
        <v>73.7</v>
      </c>
      <c r="F10" s="139">
        <v>200.4</v>
      </c>
      <c r="G10" s="139">
        <v>224.1</v>
      </c>
      <c r="H10" s="139">
        <v>248.1</v>
      </c>
      <c r="I10" s="139">
        <v>269</v>
      </c>
      <c r="J10" s="139">
        <v>290.7</v>
      </c>
      <c r="K10" s="139">
        <v>309.39999999999998</v>
      </c>
      <c r="L10" s="139">
        <v>306.7</v>
      </c>
      <c r="M10" s="139">
        <v>325.89999999999998</v>
      </c>
      <c r="N10" s="139">
        <v>344.4</v>
      </c>
      <c r="O10" s="139">
        <v>374.7</v>
      </c>
      <c r="P10" s="139">
        <v>397.4</v>
      </c>
      <c r="Q10" s="139">
        <v>406.7</v>
      </c>
      <c r="R10" s="139">
        <v>422.9</v>
      </c>
      <c r="S10" s="139">
        <v>445.2</v>
      </c>
      <c r="T10" s="139">
        <v>498.2</v>
      </c>
      <c r="U10" s="139">
        <v>542.70000000000005</v>
      </c>
      <c r="V10" s="139">
        <v>564.79999999999995</v>
      </c>
      <c r="W10" s="139">
        <v>578.20000000000005</v>
      </c>
      <c r="X10" s="139">
        <v>596</v>
      </c>
      <c r="Y10" s="139">
        <v>613.5</v>
      </c>
    </row>
    <row r="11" spans="1:27">
      <c r="A11" s="92" t="s">
        <v>156</v>
      </c>
      <c r="B11" s="138">
        <v>0</v>
      </c>
      <c r="C11" s="139">
        <v>2.8</v>
      </c>
      <c r="D11" s="139">
        <v>14.5</v>
      </c>
      <c r="E11" s="139">
        <v>42.6</v>
      </c>
      <c r="F11" s="139">
        <v>116.8</v>
      </c>
      <c r="G11" s="139">
        <v>132.19999999999999</v>
      </c>
      <c r="H11" s="139">
        <v>145.30000000000001</v>
      </c>
      <c r="I11" s="139">
        <v>160.80000000000001</v>
      </c>
      <c r="J11" s="139">
        <v>172.3</v>
      </c>
      <c r="K11" s="139">
        <v>177.5</v>
      </c>
      <c r="L11" s="139">
        <v>173.9</v>
      </c>
      <c r="M11" s="139">
        <v>185.6</v>
      </c>
      <c r="N11" s="139">
        <v>203.2</v>
      </c>
      <c r="O11" s="139">
        <v>247.5</v>
      </c>
      <c r="P11" s="139">
        <v>266.5</v>
      </c>
      <c r="Q11" s="139">
        <v>247.3</v>
      </c>
      <c r="R11" s="139">
        <v>243.4</v>
      </c>
      <c r="S11" s="139">
        <v>256.89999999999998</v>
      </c>
      <c r="T11" s="139">
        <v>305.89999999999998</v>
      </c>
      <c r="U11" s="139">
        <v>342.7</v>
      </c>
      <c r="V11" s="139">
        <v>357.8</v>
      </c>
      <c r="W11" s="139">
        <v>360</v>
      </c>
      <c r="X11" s="139">
        <v>372.1</v>
      </c>
      <c r="Y11" s="139">
        <v>387.5</v>
      </c>
    </row>
    <row r="12" spans="1:27">
      <c r="A12" s="92" t="s">
        <v>157</v>
      </c>
      <c r="B12" s="138">
        <v>0</v>
      </c>
      <c r="C12" s="139">
        <v>2.4</v>
      </c>
      <c r="D12" s="139">
        <v>11.5</v>
      </c>
      <c r="E12" s="139">
        <v>31.1</v>
      </c>
      <c r="F12" s="139">
        <v>83.5</v>
      </c>
      <c r="G12" s="139">
        <v>91.9</v>
      </c>
      <c r="H12" s="139">
        <v>102.8</v>
      </c>
      <c r="I12" s="139">
        <v>108.2</v>
      </c>
      <c r="J12" s="139">
        <v>118.4</v>
      </c>
      <c r="K12" s="139">
        <v>131.80000000000001</v>
      </c>
      <c r="L12" s="139">
        <v>132.69999999999999</v>
      </c>
      <c r="M12" s="139">
        <v>140.30000000000001</v>
      </c>
      <c r="N12" s="139">
        <v>141.19999999999999</v>
      </c>
      <c r="O12" s="139">
        <v>127.2</v>
      </c>
      <c r="P12" s="139">
        <v>130.9</v>
      </c>
      <c r="Q12" s="139">
        <v>159.5</v>
      </c>
      <c r="R12" s="139">
        <v>179.5</v>
      </c>
      <c r="S12" s="139">
        <v>188.4</v>
      </c>
      <c r="T12" s="139">
        <v>192.2</v>
      </c>
      <c r="U12" s="139">
        <v>200.1</v>
      </c>
      <c r="V12" s="139">
        <v>207</v>
      </c>
      <c r="W12" s="139">
        <v>218.2</v>
      </c>
      <c r="X12" s="139">
        <v>223.8</v>
      </c>
      <c r="Y12" s="139">
        <v>226</v>
      </c>
    </row>
    <row r="13" spans="1:27">
      <c r="A13" s="92" t="s">
        <v>158</v>
      </c>
      <c r="B13" s="138">
        <v>1.7</v>
      </c>
      <c r="C13" s="139">
        <v>3.3</v>
      </c>
      <c r="D13" s="139">
        <v>9.6999999999999993</v>
      </c>
      <c r="E13" s="139">
        <v>21.4</v>
      </c>
      <c r="F13" s="139">
        <v>35.799999999999997</v>
      </c>
      <c r="G13" s="139">
        <v>40.700000000000003</v>
      </c>
      <c r="H13" s="139">
        <v>47.1</v>
      </c>
      <c r="I13" s="139">
        <v>55</v>
      </c>
      <c r="J13" s="139">
        <v>60</v>
      </c>
      <c r="K13" s="139">
        <v>63.9</v>
      </c>
      <c r="L13" s="139">
        <v>70</v>
      </c>
      <c r="M13" s="139">
        <v>74.599999999999994</v>
      </c>
      <c r="N13" s="139">
        <v>81.900000000000006</v>
      </c>
      <c r="O13" s="139">
        <v>90.2</v>
      </c>
      <c r="P13" s="139">
        <v>95.6</v>
      </c>
      <c r="Q13" s="139">
        <v>100.1</v>
      </c>
      <c r="R13" s="139">
        <v>102.4</v>
      </c>
      <c r="S13" s="139">
        <v>105.9</v>
      </c>
      <c r="T13" s="139">
        <v>112.6</v>
      </c>
      <c r="U13" s="139">
        <v>121.1</v>
      </c>
      <c r="V13" s="139">
        <v>125.4</v>
      </c>
      <c r="W13" s="139">
        <v>132.1</v>
      </c>
      <c r="X13" s="139">
        <v>136.5</v>
      </c>
      <c r="Y13" s="139">
        <v>144.80000000000001</v>
      </c>
    </row>
    <row r="14" spans="1:27">
      <c r="A14" s="92" t="s">
        <v>159</v>
      </c>
      <c r="B14" s="138">
        <v>4.5</v>
      </c>
      <c r="C14" s="139">
        <v>10.8</v>
      </c>
      <c r="D14" s="139">
        <v>37.200000000000003</v>
      </c>
      <c r="E14" s="139">
        <v>105.4</v>
      </c>
      <c r="F14" s="139">
        <v>185.1</v>
      </c>
      <c r="G14" s="139">
        <v>196.9</v>
      </c>
      <c r="H14" s="139">
        <v>212.5</v>
      </c>
      <c r="I14" s="139">
        <v>230.7</v>
      </c>
      <c r="J14" s="139">
        <v>241.1</v>
      </c>
      <c r="K14" s="139">
        <v>251.8</v>
      </c>
      <c r="L14" s="139">
        <v>267.5</v>
      </c>
      <c r="M14" s="139">
        <v>283.60000000000002</v>
      </c>
      <c r="N14" s="139">
        <v>283.10000000000002</v>
      </c>
      <c r="O14" s="139">
        <v>290.39999999999998</v>
      </c>
      <c r="P14" s="139">
        <v>303.60000000000002</v>
      </c>
      <c r="Q14" s="139">
        <v>304.89999999999998</v>
      </c>
      <c r="R14" s="139">
        <v>325.39999999999998</v>
      </c>
      <c r="S14" s="139">
        <v>344.6</v>
      </c>
      <c r="T14" s="139">
        <v>353.6</v>
      </c>
      <c r="U14" s="139">
        <v>366.6</v>
      </c>
      <c r="V14" s="139">
        <v>384.6</v>
      </c>
      <c r="W14" s="139">
        <v>403.8</v>
      </c>
      <c r="X14" s="139">
        <v>417</v>
      </c>
      <c r="Y14" s="139">
        <v>434.4</v>
      </c>
    </row>
    <row r="15" spans="1:27">
      <c r="A15" s="123" t="s">
        <v>160</v>
      </c>
      <c r="B15" s="138">
        <v>2.6</v>
      </c>
      <c r="C15" s="139">
        <v>7.7</v>
      </c>
      <c r="D15" s="139">
        <v>20.6</v>
      </c>
      <c r="E15" s="139">
        <v>48.6</v>
      </c>
      <c r="F15" s="139">
        <v>85.7</v>
      </c>
      <c r="G15" s="139">
        <v>90</v>
      </c>
      <c r="H15" s="139">
        <v>101.5</v>
      </c>
      <c r="I15" s="139">
        <v>108.6</v>
      </c>
      <c r="J15" s="139">
        <v>116.9</v>
      </c>
      <c r="K15" s="139">
        <v>125.5</v>
      </c>
      <c r="L15" s="139">
        <v>133</v>
      </c>
      <c r="M15" s="139">
        <v>146.19999999999999</v>
      </c>
      <c r="N15" s="139">
        <v>156.30000000000001</v>
      </c>
      <c r="O15" s="139">
        <v>147.19999999999999</v>
      </c>
      <c r="P15" s="139">
        <v>152.1</v>
      </c>
      <c r="Q15" s="139">
        <v>158.69999999999999</v>
      </c>
      <c r="R15" s="139">
        <v>163.19999999999999</v>
      </c>
      <c r="S15" s="139">
        <v>163.1</v>
      </c>
      <c r="T15" s="139">
        <v>159.6</v>
      </c>
      <c r="U15" s="139">
        <v>164</v>
      </c>
      <c r="V15" s="139">
        <v>167</v>
      </c>
      <c r="W15" s="139">
        <v>181.5</v>
      </c>
      <c r="X15" s="139">
        <v>190.2</v>
      </c>
      <c r="Y15" s="139">
        <v>201.7</v>
      </c>
    </row>
    <row r="16" spans="1:27">
      <c r="A16" s="92"/>
      <c r="B16" s="141" t="s">
        <v>161</v>
      </c>
      <c r="C16" s="135"/>
      <c r="D16" s="135"/>
      <c r="E16" s="135"/>
      <c r="F16" s="135"/>
      <c r="G16" s="135"/>
      <c r="H16" s="129"/>
      <c r="I16" s="135"/>
      <c r="J16" s="135"/>
      <c r="K16" s="135"/>
      <c r="L16" s="135"/>
      <c r="M16" s="135"/>
      <c r="N16" s="135"/>
      <c r="O16" s="135"/>
      <c r="P16" s="135"/>
      <c r="Q16" s="135"/>
      <c r="R16" s="135"/>
      <c r="S16" s="135"/>
      <c r="T16" s="135"/>
      <c r="U16" s="135"/>
      <c r="V16" s="135"/>
      <c r="W16" s="135"/>
      <c r="X16" s="135"/>
      <c r="Y16" s="135"/>
    </row>
    <row r="17" spans="1:25">
      <c r="A17" s="136" t="s">
        <v>25</v>
      </c>
      <c r="B17" s="92" t="s">
        <v>47</v>
      </c>
      <c r="C17" s="142">
        <v>0.106</v>
      </c>
      <c r="D17" s="142">
        <v>0.13100000000000001</v>
      </c>
      <c r="E17" s="142">
        <v>0.11</v>
      </c>
      <c r="F17" s="142">
        <v>6.6000000000000003E-2</v>
      </c>
      <c r="G17" s="143">
        <v>8.5999999999999993E-2</v>
      </c>
      <c r="H17" s="143">
        <v>0.1</v>
      </c>
      <c r="I17" s="143">
        <v>8.5000000000000006E-2</v>
      </c>
      <c r="J17" s="143">
        <v>7.2999999999999995E-2</v>
      </c>
      <c r="K17" s="143">
        <v>6.8000000000000005E-2</v>
      </c>
      <c r="L17" s="143">
        <v>6.7000000000000004E-2</v>
      </c>
      <c r="M17" s="143">
        <v>6.4000000000000001E-2</v>
      </c>
      <c r="N17" s="143">
        <v>4.2000000000000003E-2</v>
      </c>
      <c r="O17" s="143">
        <v>3.7999999999999999E-2</v>
      </c>
      <c r="P17" s="143">
        <v>3.9E-2</v>
      </c>
      <c r="Q17" s="143">
        <v>3.3000000000000002E-2</v>
      </c>
      <c r="R17" s="143">
        <v>0.04</v>
      </c>
      <c r="S17" s="143">
        <v>2.7E-2</v>
      </c>
      <c r="T17" s="143">
        <v>5.1999999999999998E-2</v>
      </c>
      <c r="U17" s="143">
        <v>5.6000000000000001E-2</v>
      </c>
      <c r="V17" s="143">
        <v>4.5999999999999999E-2</v>
      </c>
      <c r="W17" s="143">
        <v>4.2999999999999997E-2</v>
      </c>
      <c r="X17" s="143">
        <v>4.7E-2</v>
      </c>
      <c r="Y17" s="143">
        <v>4.5999999999999999E-2</v>
      </c>
    </row>
    <row r="18" spans="1:25">
      <c r="A18" s="137" t="s">
        <v>150</v>
      </c>
      <c r="B18" s="92" t="s">
        <v>47</v>
      </c>
      <c r="C18" s="144">
        <v>10.4</v>
      </c>
      <c r="D18" s="144">
        <v>13.4</v>
      </c>
      <c r="E18" s="144">
        <v>11.2</v>
      </c>
      <c r="F18" s="144">
        <v>6.7</v>
      </c>
      <c r="G18" s="144">
        <v>8.8000000000000007</v>
      </c>
      <c r="H18" s="144">
        <v>9.8000000000000007</v>
      </c>
      <c r="I18" s="144">
        <v>8.6</v>
      </c>
      <c r="J18" s="144">
        <v>7.3</v>
      </c>
      <c r="K18" s="144">
        <v>6.8</v>
      </c>
      <c r="L18" s="144">
        <v>6.8</v>
      </c>
      <c r="M18" s="144">
        <v>6.2</v>
      </c>
      <c r="N18" s="144">
        <v>4</v>
      </c>
      <c r="O18" s="144">
        <v>4.4000000000000004</v>
      </c>
      <c r="P18" s="144">
        <v>3.9</v>
      </c>
      <c r="Q18" s="144">
        <v>3.3</v>
      </c>
      <c r="R18" s="144">
        <v>4.0999999999999996</v>
      </c>
      <c r="S18" s="144">
        <v>2.9</v>
      </c>
      <c r="T18" s="144">
        <v>5.6</v>
      </c>
      <c r="U18" s="144">
        <v>5.8</v>
      </c>
      <c r="V18" s="144">
        <v>4.8</v>
      </c>
      <c r="W18" s="144">
        <v>4</v>
      </c>
      <c r="X18" s="144">
        <v>4.7</v>
      </c>
      <c r="Y18" s="144">
        <v>4.5</v>
      </c>
    </row>
    <row r="19" spans="1:25">
      <c r="A19" s="92" t="s">
        <v>151</v>
      </c>
      <c r="B19" s="92" t="s">
        <v>47</v>
      </c>
      <c r="C19" s="144">
        <v>6.6</v>
      </c>
      <c r="D19" s="144">
        <v>8.6</v>
      </c>
      <c r="E19" s="144">
        <v>9.1999999999999993</v>
      </c>
      <c r="F19" s="144">
        <v>3.8</v>
      </c>
      <c r="G19" s="144">
        <v>3.8</v>
      </c>
      <c r="H19" s="144">
        <v>9.1</v>
      </c>
      <c r="I19" s="144">
        <v>7.3</v>
      </c>
      <c r="J19" s="144">
        <v>6</v>
      </c>
      <c r="K19" s="144">
        <v>6.4</v>
      </c>
      <c r="L19" s="144">
        <v>4.9000000000000004</v>
      </c>
      <c r="M19" s="144">
        <v>5.5</v>
      </c>
      <c r="N19" s="144">
        <v>2.2000000000000002</v>
      </c>
      <c r="O19" s="144">
        <v>-1.1000000000000001</v>
      </c>
      <c r="P19" s="144">
        <v>1.6</v>
      </c>
      <c r="Q19" s="144">
        <v>2.9</v>
      </c>
      <c r="R19" s="144">
        <v>4.0999999999999996</v>
      </c>
      <c r="S19" s="144">
        <v>2.2999999999999998</v>
      </c>
      <c r="T19" s="144">
        <v>2.9</v>
      </c>
      <c r="U19" s="144">
        <v>4.0999999999999996</v>
      </c>
      <c r="V19" s="144">
        <v>3.8</v>
      </c>
      <c r="W19" s="144">
        <v>2</v>
      </c>
      <c r="X19" s="144">
        <v>3.8</v>
      </c>
      <c r="Y19" s="144">
        <v>4.5999999999999996</v>
      </c>
    </row>
    <row r="20" spans="1:25">
      <c r="A20" s="92" t="s">
        <v>152</v>
      </c>
      <c r="B20" s="92" t="s">
        <v>47</v>
      </c>
      <c r="C20" s="144">
        <v>15.7</v>
      </c>
      <c r="D20" s="144">
        <v>16.2</v>
      </c>
      <c r="E20" s="144">
        <v>11.9</v>
      </c>
      <c r="F20" s="144">
        <v>7.7</v>
      </c>
      <c r="G20" s="144">
        <v>10.4</v>
      </c>
      <c r="H20" s="144">
        <v>10.3</v>
      </c>
      <c r="I20" s="144">
        <v>8.9</v>
      </c>
      <c r="J20" s="144">
        <v>8.1</v>
      </c>
      <c r="K20" s="144">
        <v>7.3</v>
      </c>
      <c r="L20" s="144">
        <v>7.2</v>
      </c>
      <c r="M20" s="144">
        <v>6.3</v>
      </c>
      <c r="N20" s="144">
        <v>5.0999999999999996</v>
      </c>
      <c r="O20" s="144">
        <v>5.7</v>
      </c>
      <c r="P20" s="144">
        <v>4.2</v>
      </c>
      <c r="Q20" s="144">
        <v>3.8</v>
      </c>
      <c r="R20" s="144">
        <v>3.6</v>
      </c>
      <c r="S20" s="144">
        <v>2.5</v>
      </c>
      <c r="T20" s="144">
        <v>6.6</v>
      </c>
      <c r="U20" s="144">
        <v>6.4</v>
      </c>
      <c r="V20" s="144">
        <v>4.9000000000000004</v>
      </c>
      <c r="W20" s="144">
        <v>4.2</v>
      </c>
      <c r="X20" s="144">
        <v>5.0999999999999996</v>
      </c>
      <c r="Y20" s="144">
        <v>4.5</v>
      </c>
    </row>
    <row r="21" spans="1:25">
      <c r="A21" s="92" t="s">
        <v>153</v>
      </c>
      <c r="B21" s="92" t="s">
        <v>47</v>
      </c>
      <c r="C21" s="144">
        <v>10.3</v>
      </c>
      <c r="D21" s="144">
        <v>16.100000000000001</v>
      </c>
      <c r="E21" s="144">
        <v>12.9</v>
      </c>
      <c r="F21" s="144">
        <v>6.9</v>
      </c>
      <c r="G21" s="144">
        <v>9.6</v>
      </c>
      <c r="H21" s="144">
        <v>11.2</v>
      </c>
      <c r="I21" s="144">
        <v>9.6999999999999993</v>
      </c>
      <c r="J21" s="144">
        <v>7.1</v>
      </c>
      <c r="K21" s="144">
        <v>7</v>
      </c>
      <c r="L21" s="144">
        <v>4.9000000000000004</v>
      </c>
      <c r="M21" s="144">
        <v>5.8</v>
      </c>
      <c r="N21" s="144">
        <v>2.8</v>
      </c>
      <c r="O21" s="144">
        <v>3.3</v>
      </c>
      <c r="P21" s="144">
        <v>3.2</v>
      </c>
      <c r="Q21" s="144">
        <v>3.8</v>
      </c>
      <c r="R21" s="144">
        <v>3.1</v>
      </c>
      <c r="S21" s="144">
        <v>0.4</v>
      </c>
      <c r="T21" s="144">
        <v>5.2</v>
      </c>
      <c r="U21" s="144">
        <v>5.9</v>
      </c>
      <c r="V21" s="144">
        <v>5.9</v>
      </c>
      <c r="W21" s="144">
        <v>5</v>
      </c>
      <c r="X21" s="144">
        <v>5.6</v>
      </c>
      <c r="Y21" s="144">
        <v>3.7</v>
      </c>
    </row>
    <row r="22" spans="1:25">
      <c r="A22" s="92" t="s">
        <v>154</v>
      </c>
      <c r="B22" s="92" t="s">
        <v>47</v>
      </c>
      <c r="C22" s="144" t="s">
        <v>75</v>
      </c>
      <c r="D22" s="144">
        <v>17.2</v>
      </c>
      <c r="E22" s="144">
        <v>11.4</v>
      </c>
      <c r="F22" s="144">
        <v>7.4</v>
      </c>
      <c r="G22" s="144">
        <v>10.199999999999999</v>
      </c>
      <c r="H22" s="144">
        <v>7.1</v>
      </c>
      <c r="I22" s="144">
        <v>6.5</v>
      </c>
      <c r="J22" s="144">
        <v>10.1</v>
      </c>
      <c r="K22" s="144">
        <v>9.1999999999999993</v>
      </c>
      <c r="L22" s="144">
        <v>18.8</v>
      </c>
      <c r="M22" s="144">
        <v>7.2</v>
      </c>
      <c r="N22" s="144">
        <v>7.9</v>
      </c>
      <c r="O22" s="144">
        <v>6.8</v>
      </c>
      <c r="P22" s="144">
        <v>4.2</v>
      </c>
      <c r="Q22" s="144">
        <v>4.8</v>
      </c>
      <c r="R22" s="144">
        <v>4.4000000000000004</v>
      </c>
      <c r="S22" s="144">
        <v>3.6</v>
      </c>
      <c r="T22" s="144">
        <v>4.9000000000000004</v>
      </c>
      <c r="U22" s="144">
        <v>4.9000000000000004</v>
      </c>
      <c r="V22" s="144">
        <v>4.3</v>
      </c>
      <c r="W22" s="144">
        <v>4.3</v>
      </c>
      <c r="X22" s="144">
        <v>6.3</v>
      </c>
      <c r="Y22" s="144">
        <v>6.7</v>
      </c>
    </row>
    <row r="23" spans="1:25">
      <c r="A23" s="140" t="s">
        <v>162</v>
      </c>
      <c r="B23" s="92" t="s">
        <v>47</v>
      </c>
      <c r="C23" s="144" t="s">
        <v>75</v>
      </c>
      <c r="D23" s="144">
        <v>17.3</v>
      </c>
      <c r="E23" s="144">
        <v>11</v>
      </c>
      <c r="F23" s="144">
        <v>10.5</v>
      </c>
      <c r="G23" s="144">
        <v>11.9</v>
      </c>
      <c r="H23" s="144">
        <v>10.7</v>
      </c>
      <c r="I23" s="144">
        <v>8.4</v>
      </c>
      <c r="J23" s="144">
        <v>8.1</v>
      </c>
      <c r="K23" s="144">
        <v>6.4</v>
      </c>
      <c r="L23" s="144">
        <v>-0.9</v>
      </c>
      <c r="M23" s="144">
        <v>6.3</v>
      </c>
      <c r="N23" s="144">
        <v>5.7</v>
      </c>
      <c r="O23" s="144">
        <v>8.8000000000000007</v>
      </c>
      <c r="P23" s="144">
        <v>6.1</v>
      </c>
      <c r="Q23" s="144">
        <v>2.2999999999999998</v>
      </c>
      <c r="R23" s="144">
        <v>4</v>
      </c>
      <c r="S23" s="144">
        <v>5.3</v>
      </c>
      <c r="T23" s="144">
        <v>11.9</v>
      </c>
      <c r="U23" s="144">
        <v>8.9</v>
      </c>
      <c r="V23" s="144">
        <v>4.0999999999999996</v>
      </c>
      <c r="W23" s="144">
        <v>2.4</v>
      </c>
      <c r="X23" s="144">
        <v>3.1</v>
      </c>
      <c r="Y23" s="144">
        <v>2.9</v>
      </c>
    </row>
    <row r="24" spans="1:25">
      <c r="A24" s="92" t="s">
        <v>156</v>
      </c>
      <c r="B24" s="92" t="s">
        <v>47</v>
      </c>
      <c r="C24" s="144" t="s">
        <v>75</v>
      </c>
      <c r="D24" s="144">
        <v>17.7</v>
      </c>
      <c r="E24" s="144">
        <v>11.4</v>
      </c>
      <c r="F24" s="144">
        <v>10.6</v>
      </c>
      <c r="G24" s="144">
        <v>13.1</v>
      </c>
      <c r="H24" s="144">
        <v>9.9</v>
      </c>
      <c r="I24" s="144">
        <v>10.7</v>
      </c>
      <c r="J24" s="144">
        <v>7.2</v>
      </c>
      <c r="K24" s="144">
        <v>3</v>
      </c>
      <c r="L24" s="144">
        <v>-2</v>
      </c>
      <c r="M24" s="144">
        <v>6.7</v>
      </c>
      <c r="N24" s="144">
        <v>9.5</v>
      </c>
      <c r="O24" s="144">
        <v>21.8</v>
      </c>
      <c r="P24" s="144">
        <v>7.7</v>
      </c>
      <c r="Q24" s="144">
        <v>-7.2</v>
      </c>
      <c r="R24" s="144">
        <v>-1.6</v>
      </c>
      <c r="S24" s="144">
        <v>5.5</v>
      </c>
      <c r="T24" s="144">
        <v>19.100000000000001</v>
      </c>
      <c r="U24" s="144">
        <v>12</v>
      </c>
      <c r="V24" s="144">
        <v>4.4000000000000004</v>
      </c>
      <c r="W24" s="144">
        <v>0.6</v>
      </c>
      <c r="X24" s="144">
        <v>3.4</v>
      </c>
      <c r="Y24" s="144">
        <v>4.0999999999999996</v>
      </c>
    </row>
    <row r="25" spans="1:25">
      <c r="A25" s="92" t="s">
        <v>157</v>
      </c>
      <c r="B25" s="92" t="s">
        <v>47</v>
      </c>
      <c r="C25" s="144" t="s">
        <v>75</v>
      </c>
      <c r="D25" s="144">
        <v>16.7</v>
      </c>
      <c r="E25" s="144">
        <v>10.4</v>
      </c>
      <c r="F25" s="144">
        <v>10.4</v>
      </c>
      <c r="G25" s="144">
        <v>10</v>
      </c>
      <c r="H25" s="144">
        <v>11.9</v>
      </c>
      <c r="I25" s="144">
        <v>5.2</v>
      </c>
      <c r="J25" s="144">
        <v>9.5</v>
      </c>
      <c r="K25" s="144">
        <v>11.3</v>
      </c>
      <c r="L25" s="144">
        <v>0.7</v>
      </c>
      <c r="M25" s="144">
        <v>5.7</v>
      </c>
      <c r="N25" s="144">
        <v>0.6</v>
      </c>
      <c r="O25" s="144">
        <v>-9.9</v>
      </c>
      <c r="P25" s="144">
        <v>2.9</v>
      </c>
      <c r="Q25" s="144">
        <v>21.8</v>
      </c>
      <c r="R25" s="144">
        <v>12.6</v>
      </c>
      <c r="S25" s="144">
        <v>4.9000000000000004</v>
      </c>
      <c r="T25" s="144">
        <v>2.1</v>
      </c>
      <c r="U25" s="144">
        <v>4.0999999999999996</v>
      </c>
      <c r="V25" s="144">
        <v>3.5</v>
      </c>
      <c r="W25" s="144">
        <v>5.4</v>
      </c>
      <c r="X25" s="144">
        <v>2.6</v>
      </c>
      <c r="Y25" s="144">
        <v>1</v>
      </c>
    </row>
    <row r="26" spans="1:25">
      <c r="A26" s="92" t="s">
        <v>158</v>
      </c>
      <c r="B26" s="92" t="s">
        <v>47</v>
      </c>
      <c r="C26" s="144">
        <v>7</v>
      </c>
      <c r="D26" s="144">
        <v>11.4</v>
      </c>
      <c r="E26" s="144">
        <v>8.1999999999999993</v>
      </c>
      <c r="F26" s="144">
        <v>5.3</v>
      </c>
      <c r="G26" s="144">
        <v>13.6</v>
      </c>
      <c r="H26" s="144">
        <v>15.9</v>
      </c>
      <c r="I26" s="144">
        <v>16.8</v>
      </c>
      <c r="J26" s="144">
        <v>9</v>
      </c>
      <c r="K26" s="144">
        <v>6.4</v>
      </c>
      <c r="L26" s="144">
        <v>9.6</v>
      </c>
      <c r="M26" s="144">
        <v>6.6</v>
      </c>
      <c r="N26" s="144">
        <v>9.8000000000000007</v>
      </c>
      <c r="O26" s="144">
        <v>10.1</v>
      </c>
      <c r="P26" s="144">
        <v>5.9</v>
      </c>
      <c r="Q26" s="144">
        <v>4.8</v>
      </c>
      <c r="R26" s="144">
        <v>2.2999999999999998</v>
      </c>
      <c r="S26" s="144">
        <v>3.5</v>
      </c>
      <c r="T26" s="144">
        <v>6.3</v>
      </c>
      <c r="U26" s="144">
        <v>7.5</v>
      </c>
      <c r="V26" s="144">
        <v>3.6</v>
      </c>
      <c r="W26" s="144">
        <v>5.3</v>
      </c>
      <c r="X26" s="144">
        <v>3.3</v>
      </c>
      <c r="Y26" s="144">
        <v>6.1</v>
      </c>
    </row>
    <row r="27" spans="1:25">
      <c r="A27" s="92" t="s">
        <v>159</v>
      </c>
      <c r="B27" s="92" t="s">
        <v>47</v>
      </c>
      <c r="C27" s="144">
        <v>9.3000000000000007</v>
      </c>
      <c r="D27" s="144">
        <v>13.2</v>
      </c>
      <c r="E27" s="144">
        <v>11</v>
      </c>
      <c r="F27" s="144">
        <v>5.8</v>
      </c>
      <c r="G27" s="144">
        <v>6.4</v>
      </c>
      <c r="H27" s="144">
        <v>7.9</v>
      </c>
      <c r="I27" s="144">
        <v>8.6</v>
      </c>
      <c r="J27" s="144">
        <v>4.5</v>
      </c>
      <c r="K27" s="144">
        <v>4.4000000000000004</v>
      </c>
      <c r="L27" s="144">
        <v>6.2</v>
      </c>
      <c r="M27" s="144">
        <v>6</v>
      </c>
      <c r="N27" s="144">
        <v>-0.2</v>
      </c>
      <c r="O27" s="144">
        <v>2.6</v>
      </c>
      <c r="P27" s="144">
        <v>4.5</v>
      </c>
      <c r="Q27" s="144">
        <v>0.4</v>
      </c>
      <c r="R27" s="144">
        <v>6.7</v>
      </c>
      <c r="S27" s="144">
        <v>5.9</v>
      </c>
      <c r="T27" s="144">
        <v>2.6</v>
      </c>
      <c r="U27" s="144">
        <v>3.7</v>
      </c>
      <c r="V27" s="144">
        <v>4.9000000000000004</v>
      </c>
      <c r="W27" s="144">
        <v>5</v>
      </c>
      <c r="X27" s="144">
        <v>3.3</v>
      </c>
      <c r="Y27" s="144">
        <v>4.2</v>
      </c>
    </row>
    <row r="28" spans="1:25">
      <c r="A28" s="145" t="s">
        <v>160</v>
      </c>
      <c r="B28" s="146" t="s">
        <v>47</v>
      </c>
      <c r="C28" s="147">
        <v>11.7</v>
      </c>
      <c r="D28" s="147">
        <v>10.3</v>
      </c>
      <c r="E28" s="147">
        <v>9</v>
      </c>
      <c r="F28" s="147">
        <v>5.8</v>
      </c>
      <c r="G28" s="147">
        <v>5</v>
      </c>
      <c r="H28" s="147">
        <v>12.8</v>
      </c>
      <c r="I28" s="147">
        <v>7</v>
      </c>
      <c r="J28" s="147">
        <v>7.7</v>
      </c>
      <c r="K28" s="147">
        <v>7.4</v>
      </c>
      <c r="L28" s="147">
        <v>5.9</v>
      </c>
      <c r="M28" s="147">
        <v>9.9</v>
      </c>
      <c r="N28" s="147">
        <v>6.9</v>
      </c>
      <c r="O28" s="147">
        <v>-5.8</v>
      </c>
      <c r="P28" s="147">
        <v>3.3</v>
      </c>
      <c r="Q28" s="147">
        <v>4.4000000000000004</v>
      </c>
      <c r="R28" s="147">
        <v>2.8</v>
      </c>
      <c r="S28" s="148">
        <v>0</v>
      </c>
      <c r="T28" s="147">
        <v>-2.2000000000000002</v>
      </c>
      <c r="U28" s="147">
        <v>2.8</v>
      </c>
      <c r="V28" s="147">
        <v>1.8</v>
      </c>
      <c r="W28" s="147">
        <v>8.6999999999999993</v>
      </c>
      <c r="X28" s="147">
        <v>4.8</v>
      </c>
      <c r="Y28" s="147">
        <v>6</v>
      </c>
    </row>
    <row r="29" spans="1:25" ht="16.5" customHeight="1">
      <c r="A29" s="140" t="s">
        <v>136</v>
      </c>
      <c r="B29" s="92"/>
      <c r="C29" s="92"/>
      <c r="D29" s="92"/>
      <c r="E29" s="92"/>
      <c r="F29" s="92"/>
      <c r="G29" s="92"/>
      <c r="H29" s="92"/>
      <c r="I29" s="92"/>
      <c r="J29" s="92"/>
      <c r="K29" s="92"/>
      <c r="L29" s="92"/>
      <c r="M29" s="92"/>
      <c r="N29" s="92"/>
      <c r="O29" s="92"/>
      <c r="P29" s="92"/>
      <c r="Q29" s="92"/>
    </row>
    <row r="30" spans="1:25" ht="16.5" customHeight="1">
      <c r="A30" s="140" t="s">
        <v>1064</v>
      </c>
      <c r="B30" s="92"/>
      <c r="C30" s="92"/>
      <c r="D30" s="92"/>
      <c r="E30" s="92"/>
      <c r="F30" s="92"/>
      <c r="G30" s="92"/>
      <c r="H30" s="92"/>
      <c r="I30" s="92"/>
      <c r="J30" s="92"/>
      <c r="K30" s="92"/>
      <c r="L30" s="92"/>
      <c r="M30" s="92"/>
      <c r="N30" s="92"/>
      <c r="O30" s="92"/>
      <c r="P30" s="92"/>
      <c r="Q30" s="92"/>
    </row>
    <row r="31" spans="1:25" ht="16.5" customHeight="1">
      <c r="A31" s="140" t="s">
        <v>1063</v>
      </c>
      <c r="B31" s="92"/>
      <c r="C31" s="92"/>
      <c r="D31" s="92"/>
      <c r="E31" s="92"/>
      <c r="F31" s="92"/>
      <c r="G31" s="92"/>
      <c r="H31" s="92"/>
      <c r="I31" s="92"/>
      <c r="J31" s="92"/>
      <c r="K31" s="92"/>
      <c r="L31" s="92"/>
      <c r="M31" s="92"/>
      <c r="N31" s="92"/>
      <c r="O31" s="92"/>
      <c r="P31" s="92"/>
      <c r="Q31" s="92"/>
    </row>
    <row r="32" spans="1:25" ht="16.5" customHeight="1">
      <c r="A32" s="140" t="s">
        <v>163</v>
      </c>
      <c r="B32" s="92"/>
      <c r="C32" s="92"/>
      <c r="D32" s="92"/>
      <c r="E32" s="92"/>
      <c r="F32" s="92"/>
      <c r="G32" s="92"/>
      <c r="H32" s="92"/>
      <c r="I32" s="92"/>
      <c r="J32" s="92"/>
      <c r="K32" s="92"/>
      <c r="L32" s="92"/>
      <c r="M32" s="92"/>
      <c r="N32" s="92"/>
      <c r="O32" s="92"/>
      <c r="P32" s="92"/>
      <c r="Q32" s="92"/>
      <c r="R32" s="149"/>
      <c r="S32" s="149"/>
    </row>
    <row r="33" spans="1:17" ht="16.5" customHeight="1">
      <c r="A33" s="92" t="s">
        <v>58</v>
      </c>
      <c r="B33" s="92"/>
      <c r="C33" s="92"/>
      <c r="D33" s="92"/>
      <c r="E33" s="92"/>
      <c r="F33" s="92"/>
      <c r="G33" s="92"/>
      <c r="H33" s="92"/>
      <c r="I33" s="92"/>
      <c r="J33" s="92"/>
      <c r="K33" s="92"/>
      <c r="L33" s="92"/>
      <c r="M33" s="92"/>
      <c r="N33" s="92"/>
      <c r="O33" s="92"/>
      <c r="P33" s="92"/>
      <c r="Q33" s="92"/>
    </row>
  </sheetData>
  <pageMargins left="0" right="0" top="0.71" bottom="0.46" header="0.3" footer="0.3"/>
  <pageSetup scale="6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90"/>
  <sheetViews>
    <sheetView topLeftCell="A59" zoomScale="150" zoomScaleNormal="150" workbookViewId="0">
      <selection activeCell="A85" sqref="A85:K85"/>
    </sheetView>
  </sheetViews>
  <sheetFormatPr defaultColWidth="12.7265625" defaultRowHeight="8"/>
  <cols>
    <col min="1" max="1" width="11.7265625" style="189" customWidth="1"/>
    <col min="2" max="9" width="11.453125" style="170" customWidth="1"/>
    <col min="10" max="16384" width="12.7265625" style="170"/>
  </cols>
  <sheetData>
    <row r="1" spans="1:11" ht="19.5" customHeight="1">
      <c r="A1" s="169" t="s">
        <v>179</v>
      </c>
      <c r="B1" s="169"/>
      <c r="C1" s="169"/>
      <c r="D1" s="169"/>
      <c r="E1" s="169"/>
      <c r="F1" s="169"/>
      <c r="G1" s="169"/>
      <c r="H1" s="169"/>
      <c r="I1" s="169"/>
      <c r="J1" s="169"/>
      <c r="K1" s="169"/>
    </row>
    <row r="2" spans="1:11" ht="9">
      <c r="A2" s="171" t="s">
        <v>60</v>
      </c>
      <c r="B2" s="172" t="s">
        <v>60</v>
      </c>
      <c r="C2" s="173" t="s">
        <v>60</v>
      </c>
      <c r="D2" s="174" t="s">
        <v>180</v>
      </c>
      <c r="E2" s="174"/>
      <c r="F2" s="174"/>
      <c r="G2" s="174"/>
      <c r="H2" s="174"/>
      <c r="I2" s="175"/>
    </row>
    <row r="3" spans="1:11" ht="17">
      <c r="A3" s="176" t="s">
        <v>181</v>
      </c>
      <c r="B3" s="176" t="s">
        <v>98</v>
      </c>
      <c r="C3" s="177" t="s">
        <v>182</v>
      </c>
      <c r="D3" s="176" t="s">
        <v>98</v>
      </c>
      <c r="E3" s="177" t="s">
        <v>100</v>
      </c>
      <c r="F3" s="176" t="s">
        <v>101</v>
      </c>
      <c r="G3" s="176" t="s">
        <v>102</v>
      </c>
      <c r="H3" s="178" t="s">
        <v>183</v>
      </c>
      <c r="I3" s="177" t="s">
        <v>184</v>
      </c>
      <c r="J3" s="177" t="s">
        <v>13</v>
      </c>
      <c r="K3" s="177" t="s">
        <v>71</v>
      </c>
    </row>
    <row r="4" spans="1:11" ht="9">
      <c r="A4" s="179" t="s">
        <v>185</v>
      </c>
      <c r="B4" s="180" t="s">
        <v>24</v>
      </c>
      <c r="C4" s="180"/>
      <c r="D4" s="180"/>
      <c r="E4" s="180"/>
      <c r="F4" s="180"/>
      <c r="G4" s="180"/>
      <c r="H4" s="180"/>
      <c r="I4" s="180"/>
      <c r="J4" s="180"/>
      <c r="K4" s="180"/>
    </row>
    <row r="5" spans="1:11">
      <c r="A5" s="181">
        <v>2012</v>
      </c>
      <c r="B5" s="182">
        <v>2791.1</v>
      </c>
      <c r="C5" s="182">
        <v>319.2</v>
      </c>
      <c r="D5" s="182">
        <v>2015.8</v>
      </c>
      <c r="E5" s="182">
        <v>922</v>
      </c>
      <c r="F5" s="182">
        <v>568.5</v>
      </c>
      <c r="G5" s="182">
        <v>422.9</v>
      </c>
      <c r="H5" s="182">
        <v>102.4</v>
      </c>
      <c r="I5" s="182">
        <v>225.5</v>
      </c>
      <c r="J5" s="182">
        <v>77.2</v>
      </c>
      <c r="K5" s="182">
        <v>153.30000000000001</v>
      </c>
    </row>
    <row r="6" spans="1:11">
      <c r="A6" s="181">
        <v>2013</v>
      </c>
      <c r="B6" s="183">
        <v>2875</v>
      </c>
      <c r="C6" s="183">
        <v>326.89999999999998</v>
      </c>
      <c r="D6" s="183">
        <v>2079.1999999999998</v>
      </c>
      <c r="E6" s="183">
        <v>939.1</v>
      </c>
      <c r="F6" s="183">
        <v>588.9</v>
      </c>
      <c r="G6" s="183">
        <v>445.2</v>
      </c>
      <c r="H6" s="183">
        <v>105.9</v>
      </c>
      <c r="I6" s="183">
        <v>235.9</v>
      </c>
      <c r="J6" s="183">
        <v>79</v>
      </c>
      <c r="K6" s="183">
        <v>154.1</v>
      </c>
    </row>
    <row r="7" spans="1:11">
      <c r="A7" s="181">
        <v>2014</v>
      </c>
      <c r="B7" s="183">
        <v>3025.4</v>
      </c>
      <c r="C7" s="183">
        <v>331.8</v>
      </c>
      <c r="D7" s="183">
        <v>2223</v>
      </c>
      <c r="E7" s="183">
        <v>994.1</v>
      </c>
      <c r="F7" s="183">
        <v>618.5</v>
      </c>
      <c r="G7" s="183">
        <v>497.8</v>
      </c>
      <c r="H7" s="183">
        <v>112.6</v>
      </c>
      <c r="I7" s="183">
        <v>238.8</v>
      </c>
      <c r="J7" s="183">
        <v>82</v>
      </c>
      <c r="K7" s="183">
        <v>149.80000000000001</v>
      </c>
    </row>
    <row r="8" spans="1:11">
      <c r="A8" s="181">
        <v>2015</v>
      </c>
      <c r="B8" s="183">
        <v>3199.6</v>
      </c>
      <c r="C8" s="183">
        <v>341.7</v>
      </c>
      <c r="D8" s="183">
        <v>2373.4</v>
      </c>
      <c r="E8" s="183">
        <v>1060.9000000000001</v>
      </c>
      <c r="F8" s="183">
        <v>648.79999999999995</v>
      </c>
      <c r="G8" s="183">
        <v>542.6</v>
      </c>
      <c r="H8" s="183">
        <v>121.1</v>
      </c>
      <c r="I8" s="183">
        <v>244.6</v>
      </c>
      <c r="J8" s="183">
        <v>85.8</v>
      </c>
      <c r="K8" s="183">
        <v>154.1</v>
      </c>
    </row>
    <row r="9" spans="1:11">
      <c r="A9" s="181">
        <v>2016</v>
      </c>
      <c r="B9" s="183">
        <v>3347.4</v>
      </c>
      <c r="C9" s="183">
        <v>357.2</v>
      </c>
      <c r="D9" s="183">
        <v>2487.5</v>
      </c>
      <c r="E9" s="183">
        <v>1119.9000000000001</v>
      </c>
      <c r="F9" s="183">
        <v>676.8</v>
      </c>
      <c r="G9" s="183">
        <v>565.4</v>
      </c>
      <c r="H9" s="183">
        <v>125.4</v>
      </c>
      <c r="I9" s="183">
        <v>257.3</v>
      </c>
      <c r="J9" s="183">
        <v>88.7</v>
      </c>
      <c r="K9" s="183">
        <v>156.69999999999999</v>
      </c>
    </row>
    <row r="10" spans="1:11">
      <c r="A10" s="181">
        <v>2017</v>
      </c>
      <c r="B10" s="183">
        <v>3487.3</v>
      </c>
      <c r="C10" s="183">
        <v>365.2</v>
      </c>
      <c r="D10" s="183">
        <v>2592.3000000000002</v>
      </c>
      <c r="E10" s="183">
        <v>1175</v>
      </c>
      <c r="F10" s="183">
        <v>705.1</v>
      </c>
      <c r="G10" s="183">
        <v>580.1</v>
      </c>
      <c r="H10" s="183">
        <v>132.1</v>
      </c>
      <c r="I10" s="183">
        <v>270.10000000000002</v>
      </c>
      <c r="J10" s="183">
        <v>91.4</v>
      </c>
      <c r="K10" s="183">
        <v>168.3</v>
      </c>
    </row>
    <row r="11" spans="1:11">
      <c r="A11" s="181">
        <v>2018</v>
      </c>
      <c r="B11" s="183">
        <v>3649.4</v>
      </c>
      <c r="C11" s="183">
        <v>375.6</v>
      </c>
      <c r="D11" s="183">
        <v>2729</v>
      </c>
      <c r="E11" s="183">
        <v>1243</v>
      </c>
      <c r="F11" s="183">
        <v>750.2</v>
      </c>
      <c r="G11" s="183">
        <v>597.4</v>
      </c>
      <c r="H11" s="183">
        <v>138.30000000000001</v>
      </c>
      <c r="I11" s="183">
        <v>276.89999999999998</v>
      </c>
      <c r="J11" s="183">
        <v>93.5</v>
      </c>
      <c r="K11" s="183">
        <v>174.4</v>
      </c>
    </row>
    <row r="12" spans="1:11">
      <c r="A12" s="170" t="s">
        <v>62</v>
      </c>
      <c r="B12" s="183"/>
      <c r="C12" s="183"/>
      <c r="D12" s="183"/>
      <c r="E12" s="183"/>
      <c r="F12" s="183"/>
      <c r="G12" s="183"/>
      <c r="H12" s="183"/>
      <c r="I12" s="183"/>
      <c r="J12" s="183"/>
      <c r="K12" s="183"/>
    </row>
    <row r="13" spans="1:11">
      <c r="A13" s="181">
        <v>2019</v>
      </c>
      <c r="B13" s="183">
        <v>3814.6</v>
      </c>
      <c r="C13" s="183">
        <v>389.6</v>
      </c>
      <c r="D13" s="183">
        <v>2858.3</v>
      </c>
      <c r="E13" s="183">
        <v>1290</v>
      </c>
      <c r="F13" s="183">
        <v>800.7</v>
      </c>
      <c r="G13" s="183">
        <v>621</v>
      </c>
      <c r="H13" s="183">
        <v>146.6</v>
      </c>
      <c r="I13" s="183">
        <v>288.89999999999998</v>
      </c>
      <c r="J13" s="183">
        <v>96.4</v>
      </c>
      <c r="K13" s="183">
        <v>181.4</v>
      </c>
    </row>
    <row r="14" spans="1:11">
      <c r="A14" s="181">
        <v>2020</v>
      </c>
      <c r="B14" s="183">
        <v>4014.2</v>
      </c>
      <c r="C14" s="183">
        <v>405.1</v>
      </c>
      <c r="D14" s="183">
        <v>3020.2</v>
      </c>
      <c r="E14" s="183">
        <v>1356.9</v>
      </c>
      <c r="F14" s="183">
        <v>858.5</v>
      </c>
      <c r="G14" s="183">
        <v>649</v>
      </c>
      <c r="H14" s="183">
        <v>155.69999999999999</v>
      </c>
      <c r="I14" s="183">
        <v>299.39999999999998</v>
      </c>
      <c r="J14" s="183">
        <v>98.9</v>
      </c>
      <c r="K14" s="183">
        <v>190.7</v>
      </c>
    </row>
    <row r="15" spans="1:11">
      <c r="A15" s="181">
        <v>2021</v>
      </c>
      <c r="B15" s="183">
        <v>4217.1000000000004</v>
      </c>
      <c r="C15" s="183">
        <v>421.5</v>
      </c>
      <c r="D15" s="183">
        <v>3182</v>
      </c>
      <c r="E15" s="183">
        <v>1410.6</v>
      </c>
      <c r="F15" s="183">
        <v>922.6</v>
      </c>
      <c r="G15" s="183">
        <v>684.4</v>
      </c>
      <c r="H15" s="183">
        <v>164.3</v>
      </c>
      <c r="I15" s="183">
        <v>311.3</v>
      </c>
      <c r="J15" s="183">
        <v>101.8</v>
      </c>
      <c r="K15" s="183">
        <v>200.6</v>
      </c>
    </row>
    <row r="16" spans="1:11">
      <c r="A16" s="181">
        <v>2022</v>
      </c>
      <c r="B16" s="183">
        <v>4456</v>
      </c>
      <c r="C16" s="183">
        <v>438.9</v>
      </c>
      <c r="D16" s="183">
        <v>3374.8</v>
      </c>
      <c r="E16" s="183">
        <v>1480.2</v>
      </c>
      <c r="F16" s="183">
        <v>996.8</v>
      </c>
      <c r="G16" s="183">
        <v>724.5</v>
      </c>
      <c r="H16" s="183">
        <v>173.2</v>
      </c>
      <c r="I16" s="183">
        <v>324.2</v>
      </c>
      <c r="J16" s="183">
        <v>105.4</v>
      </c>
      <c r="K16" s="183">
        <v>212.7</v>
      </c>
    </row>
    <row r="17" spans="1:11">
      <c r="A17" s="181">
        <v>2023</v>
      </c>
      <c r="B17" s="183">
        <v>4706.3</v>
      </c>
      <c r="C17" s="183">
        <v>457.7</v>
      </c>
      <c r="D17" s="183">
        <v>3578.2</v>
      </c>
      <c r="E17" s="183">
        <v>1554.7</v>
      </c>
      <c r="F17" s="183">
        <v>1075.5999999999999</v>
      </c>
      <c r="G17" s="183">
        <v>765.5</v>
      </c>
      <c r="H17" s="183">
        <v>182.4</v>
      </c>
      <c r="I17" s="183">
        <v>337.6</v>
      </c>
      <c r="J17" s="183">
        <v>109.1</v>
      </c>
      <c r="K17" s="183">
        <v>223.7</v>
      </c>
    </row>
    <row r="18" spans="1:11">
      <c r="A18" s="181">
        <v>2024</v>
      </c>
      <c r="B18" s="183">
        <v>4966.1000000000004</v>
      </c>
      <c r="C18" s="183">
        <v>477.3</v>
      </c>
      <c r="D18" s="183">
        <v>3788.8</v>
      </c>
      <c r="E18" s="183">
        <v>1632.3</v>
      </c>
      <c r="F18" s="183">
        <v>1160.7</v>
      </c>
      <c r="G18" s="183">
        <v>804.2</v>
      </c>
      <c r="H18" s="183">
        <v>191.7</v>
      </c>
      <c r="I18" s="183">
        <v>351.7</v>
      </c>
      <c r="J18" s="183">
        <v>112.8</v>
      </c>
      <c r="K18" s="183">
        <v>235.5</v>
      </c>
    </row>
    <row r="19" spans="1:11">
      <c r="A19" s="181">
        <v>2025</v>
      </c>
      <c r="B19" s="183">
        <v>5247.4</v>
      </c>
      <c r="C19" s="183">
        <v>497.5</v>
      </c>
      <c r="D19" s="183">
        <v>4018.4</v>
      </c>
      <c r="E19" s="183">
        <v>1713.8</v>
      </c>
      <c r="F19" s="183">
        <v>1250.5</v>
      </c>
      <c r="G19" s="183">
        <v>852.6</v>
      </c>
      <c r="H19" s="183">
        <v>201.5</v>
      </c>
      <c r="I19" s="183">
        <v>366.5</v>
      </c>
      <c r="J19" s="183">
        <v>117.1</v>
      </c>
      <c r="K19" s="183">
        <v>247.9</v>
      </c>
    </row>
    <row r="20" spans="1:11">
      <c r="A20" s="181">
        <v>2026</v>
      </c>
      <c r="B20" s="183">
        <v>5549.5</v>
      </c>
      <c r="C20" s="183">
        <v>518.6</v>
      </c>
      <c r="D20" s="183">
        <v>4266</v>
      </c>
      <c r="E20" s="183">
        <v>1799.1</v>
      </c>
      <c r="F20" s="183">
        <v>1344.7</v>
      </c>
      <c r="G20" s="183">
        <v>910.2</v>
      </c>
      <c r="H20" s="183">
        <v>212</v>
      </c>
      <c r="I20" s="183">
        <v>382.1</v>
      </c>
      <c r="J20" s="183">
        <v>121.8</v>
      </c>
      <c r="K20" s="183">
        <v>261</v>
      </c>
    </row>
    <row r="21" spans="1:11">
      <c r="A21" s="181">
        <v>2027</v>
      </c>
      <c r="B21" s="183">
        <v>5862.9</v>
      </c>
      <c r="C21" s="183">
        <v>540.70000000000005</v>
      </c>
      <c r="D21" s="183">
        <v>4522.8999999999996</v>
      </c>
      <c r="E21" s="183">
        <v>1888.4</v>
      </c>
      <c r="F21" s="183">
        <v>1448.8</v>
      </c>
      <c r="G21" s="183">
        <v>962.3</v>
      </c>
      <c r="H21" s="183">
        <v>223.4</v>
      </c>
      <c r="I21" s="183">
        <v>398.2</v>
      </c>
      <c r="J21" s="183">
        <v>126.2</v>
      </c>
      <c r="K21" s="183">
        <v>274.8</v>
      </c>
    </row>
    <row r="22" spans="1:11">
      <c r="A22" s="181">
        <v>2028</v>
      </c>
      <c r="B22" s="183">
        <v>6192.5</v>
      </c>
      <c r="C22" s="183">
        <v>563.79999999999995</v>
      </c>
      <c r="D22" s="183">
        <v>4793.8999999999996</v>
      </c>
      <c r="E22" s="183">
        <v>1981.8</v>
      </c>
      <c r="F22" s="183">
        <v>1559.4</v>
      </c>
      <c r="G22" s="183">
        <v>1017.1</v>
      </c>
      <c r="H22" s="183">
        <v>235.7</v>
      </c>
      <c r="I22" s="183">
        <v>415</v>
      </c>
      <c r="J22" s="183">
        <v>130.6</v>
      </c>
      <c r="K22" s="183">
        <v>289.2</v>
      </c>
    </row>
    <row r="23" spans="1:11" ht="9">
      <c r="A23" s="179" t="s">
        <v>185</v>
      </c>
      <c r="B23" s="180" t="s">
        <v>50</v>
      </c>
      <c r="C23" s="180"/>
      <c r="D23" s="180"/>
      <c r="E23" s="180"/>
      <c r="F23" s="180"/>
      <c r="G23" s="180"/>
      <c r="H23" s="180"/>
      <c r="I23" s="180"/>
      <c r="J23" s="180"/>
      <c r="K23" s="180"/>
    </row>
    <row r="24" spans="1:11">
      <c r="A24" s="181">
        <v>2012</v>
      </c>
      <c r="B24" s="184">
        <v>8908</v>
      </c>
      <c r="C24" s="184">
        <v>1019</v>
      </c>
      <c r="D24" s="185" t="s">
        <v>75</v>
      </c>
      <c r="E24" s="185" t="s">
        <v>75</v>
      </c>
      <c r="F24" s="185" t="s">
        <v>75</v>
      </c>
      <c r="G24" s="185" t="s">
        <v>75</v>
      </c>
      <c r="H24" s="185" t="s">
        <v>75</v>
      </c>
      <c r="I24" s="185" t="s">
        <v>75</v>
      </c>
      <c r="J24" s="185" t="s">
        <v>75</v>
      </c>
      <c r="K24" s="185" t="s">
        <v>75</v>
      </c>
    </row>
    <row r="25" spans="1:11">
      <c r="A25" s="181">
        <v>2013</v>
      </c>
      <c r="B25" s="186">
        <v>9113</v>
      </c>
      <c r="C25" s="186">
        <v>1036</v>
      </c>
      <c r="D25" s="185" t="s">
        <v>75</v>
      </c>
      <c r="E25" s="185" t="s">
        <v>75</v>
      </c>
      <c r="F25" s="185" t="s">
        <v>75</v>
      </c>
      <c r="G25" s="185" t="s">
        <v>75</v>
      </c>
      <c r="H25" s="185" t="s">
        <v>75</v>
      </c>
      <c r="I25" s="185" t="s">
        <v>75</v>
      </c>
      <c r="J25" s="185" t="s">
        <v>75</v>
      </c>
      <c r="K25" s="185" t="s">
        <v>75</v>
      </c>
    </row>
    <row r="26" spans="1:11">
      <c r="A26" s="181">
        <v>2014</v>
      </c>
      <c r="B26" s="186">
        <v>9518</v>
      </c>
      <c r="C26" s="186">
        <v>1044</v>
      </c>
      <c r="D26" s="185" t="s">
        <v>75</v>
      </c>
      <c r="E26" s="185" t="s">
        <v>75</v>
      </c>
      <c r="F26" s="185" t="s">
        <v>75</v>
      </c>
      <c r="G26" s="185" t="s">
        <v>75</v>
      </c>
      <c r="H26" s="185" t="s">
        <v>75</v>
      </c>
      <c r="I26" s="185" t="s">
        <v>75</v>
      </c>
      <c r="J26" s="185" t="s">
        <v>75</v>
      </c>
      <c r="K26" s="185" t="s">
        <v>75</v>
      </c>
    </row>
    <row r="27" spans="1:11">
      <c r="A27" s="181">
        <v>2015</v>
      </c>
      <c r="B27" s="186">
        <v>9995</v>
      </c>
      <c r="C27" s="186">
        <v>1067</v>
      </c>
      <c r="D27" s="185" t="s">
        <v>75</v>
      </c>
      <c r="E27" s="185" t="s">
        <v>75</v>
      </c>
      <c r="F27" s="185" t="s">
        <v>75</v>
      </c>
      <c r="G27" s="185" t="s">
        <v>75</v>
      </c>
      <c r="H27" s="185" t="s">
        <v>75</v>
      </c>
      <c r="I27" s="185" t="s">
        <v>75</v>
      </c>
      <c r="J27" s="185" t="s">
        <v>75</v>
      </c>
      <c r="K27" s="185" t="s">
        <v>75</v>
      </c>
    </row>
    <row r="28" spans="1:11">
      <c r="A28" s="181">
        <v>2016</v>
      </c>
      <c r="B28" s="186">
        <v>10379</v>
      </c>
      <c r="C28" s="186">
        <v>1108</v>
      </c>
      <c r="D28" s="185" t="s">
        <v>75</v>
      </c>
      <c r="E28" s="185" t="s">
        <v>75</v>
      </c>
      <c r="F28" s="185" t="s">
        <v>75</v>
      </c>
      <c r="G28" s="185" t="s">
        <v>75</v>
      </c>
      <c r="H28" s="185" t="s">
        <v>75</v>
      </c>
      <c r="I28" s="185" t="s">
        <v>75</v>
      </c>
      <c r="J28" s="185" t="s">
        <v>75</v>
      </c>
      <c r="K28" s="185" t="s">
        <v>75</v>
      </c>
    </row>
    <row r="29" spans="1:11">
      <c r="A29" s="181">
        <v>2017</v>
      </c>
      <c r="B29" s="186">
        <v>10742</v>
      </c>
      <c r="C29" s="186">
        <v>1125</v>
      </c>
      <c r="D29" s="185" t="s">
        <v>75</v>
      </c>
      <c r="E29" s="185" t="s">
        <v>75</v>
      </c>
      <c r="F29" s="185" t="s">
        <v>75</v>
      </c>
      <c r="G29" s="185" t="s">
        <v>75</v>
      </c>
      <c r="H29" s="185" t="s">
        <v>75</v>
      </c>
      <c r="I29" s="185" t="s">
        <v>75</v>
      </c>
      <c r="J29" s="185" t="s">
        <v>75</v>
      </c>
      <c r="K29" s="185" t="s">
        <v>75</v>
      </c>
    </row>
    <row r="30" spans="1:11">
      <c r="A30" s="181">
        <v>2018</v>
      </c>
      <c r="B30" s="186">
        <v>11172</v>
      </c>
      <c r="C30" s="186">
        <v>1150</v>
      </c>
      <c r="D30" s="185" t="s">
        <v>75</v>
      </c>
      <c r="E30" s="185" t="s">
        <v>75</v>
      </c>
      <c r="F30" s="185" t="s">
        <v>75</v>
      </c>
      <c r="G30" s="185" t="s">
        <v>75</v>
      </c>
      <c r="H30" s="185" t="s">
        <v>75</v>
      </c>
      <c r="I30" s="185" t="s">
        <v>75</v>
      </c>
      <c r="J30" s="185" t="s">
        <v>75</v>
      </c>
      <c r="K30" s="185" t="s">
        <v>75</v>
      </c>
    </row>
    <row r="31" spans="1:11">
      <c r="A31" s="170" t="s">
        <v>62</v>
      </c>
      <c r="B31" s="186"/>
      <c r="C31" s="186"/>
      <c r="D31" s="187"/>
      <c r="E31" s="187"/>
      <c r="F31" s="187"/>
      <c r="G31" s="187"/>
      <c r="H31" s="187"/>
      <c r="I31" s="187"/>
      <c r="J31" s="187"/>
      <c r="K31" s="187"/>
    </row>
    <row r="32" spans="1:11">
      <c r="A32" s="181">
        <v>2019</v>
      </c>
      <c r="B32" s="186">
        <v>11597</v>
      </c>
      <c r="C32" s="186">
        <v>1184</v>
      </c>
      <c r="D32" s="185" t="s">
        <v>75</v>
      </c>
      <c r="E32" s="185" t="s">
        <v>75</v>
      </c>
      <c r="F32" s="185" t="s">
        <v>75</v>
      </c>
      <c r="G32" s="185" t="s">
        <v>75</v>
      </c>
      <c r="H32" s="185" t="s">
        <v>75</v>
      </c>
      <c r="I32" s="185" t="s">
        <v>75</v>
      </c>
      <c r="J32" s="185" t="s">
        <v>75</v>
      </c>
      <c r="K32" s="185" t="s">
        <v>75</v>
      </c>
    </row>
    <row r="33" spans="1:11">
      <c r="A33" s="181">
        <v>2020</v>
      </c>
      <c r="B33" s="186">
        <v>12118</v>
      </c>
      <c r="C33" s="186">
        <v>1223</v>
      </c>
      <c r="D33" s="185" t="s">
        <v>75</v>
      </c>
      <c r="E33" s="185" t="s">
        <v>75</v>
      </c>
      <c r="F33" s="185" t="s">
        <v>75</v>
      </c>
      <c r="G33" s="185" t="s">
        <v>75</v>
      </c>
      <c r="H33" s="185" t="s">
        <v>75</v>
      </c>
      <c r="I33" s="185" t="s">
        <v>75</v>
      </c>
      <c r="J33" s="185" t="s">
        <v>75</v>
      </c>
      <c r="K33" s="185" t="s">
        <v>75</v>
      </c>
    </row>
    <row r="34" spans="1:11">
      <c r="A34" s="181">
        <v>2021</v>
      </c>
      <c r="B34" s="186">
        <v>12641</v>
      </c>
      <c r="C34" s="186">
        <v>1263</v>
      </c>
      <c r="D34" s="185" t="s">
        <v>75</v>
      </c>
      <c r="E34" s="185" t="s">
        <v>75</v>
      </c>
      <c r="F34" s="185" t="s">
        <v>75</v>
      </c>
      <c r="G34" s="185" t="s">
        <v>75</v>
      </c>
      <c r="H34" s="185" t="s">
        <v>75</v>
      </c>
      <c r="I34" s="185" t="s">
        <v>75</v>
      </c>
      <c r="J34" s="185" t="s">
        <v>75</v>
      </c>
      <c r="K34" s="185" t="s">
        <v>75</v>
      </c>
    </row>
    <row r="35" spans="1:11">
      <c r="A35" s="181">
        <v>2022</v>
      </c>
      <c r="B35" s="186">
        <v>13261</v>
      </c>
      <c r="C35" s="186">
        <v>1306</v>
      </c>
      <c r="D35" s="185" t="s">
        <v>75</v>
      </c>
      <c r="E35" s="185" t="s">
        <v>75</v>
      </c>
      <c r="F35" s="185" t="s">
        <v>75</v>
      </c>
      <c r="G35" s="185" t="s">
        <v>75</v>
      </c>
      <c r="H35" s="185" t="s">
        <v>75</v>
      </c>
      <c r="I35" s="185" t="s">
        <v>75</v>
      </c>
      <c r="J35" s="185" t="s">
        <v>75</v>
      </c>
      <c r="K35" s="185" t="s">
        <v>75</v>
      </c>
    </row>
    <row r="36" spans="1:11">
      <c r="A36" s="181">
        <v>2023</v>
      </c>
      <c r="B36" s="186">
        <v>13903</v>
      </c>
      <c r="C36" s="186">
        <v>1352</v>
      </c>
      <c r="D36" s="185" t="s">
        <v>75</v>
      </c>
      <c r="E36" s="185" t="s">
        <v>75</v>
      </c>
      <c r="F36" s="185" t="s">
        <v>75</v>
      </c>
      <c r="G36" s="185" t="s">
        <v>75</v>
      </c>
      <c r="H36" s="185" t="s">
        <v>75</v>
      </c>
      <c r="I36" s="185" t="s">
        <v>75</v>
      </c>
      <c r="J36" s="185" t="s">
        <v>75</v>
      </c>
      <c r="K36" s="185" t="s">
        <v>75</v>
      </c>
    </row>
    <row r="37" spans="1:11">
      <c r="A37" s="181">
        <v>2024</v>
      </c>
      <c r="B37" s="186">
        <v>14559</v>
      </c>
      <c r="C37" s="186">
        <v>1399</v>
      </c>
      <c r="D37" s="185" t="s">
        <v>75</v>
      </c>
      <c r="E37" s="185" t="s">
        <v>75</v>
      </c>
      <c r="F37" s="185" t="s">
        <v>75</v>
      </c>
      <c r="G37" s="185" t="s">
        <v>75</v>
      </c>
      <c r="H37" s="185" t="s">
        <v>75</v>
      </c>
      <c r="I37" s="185" t="s">
        <v>75</v>
      </c>
      <c r="J37" s="185" t="s">
        <v>75</v>
      </c>
      <c r="K37" s="185" t="s">
        <v>75</v>
      </c>
    </row>
    <row r="38" spans="1:11">
      <c r="A38" s="181">
        <v>2025</v>
      </c>
      <c r="B38" s="186">
        <v>15266</v>
      </c>
      <c r="C38" s="186">
        <v>1447</v>
      </c>
      <c r="D38" s="185" t="s">
        <v>75</v>
      </c>
      <c r="E38" s="185" t="s">
        <v>75</v>
      </c>
      <c r="F38" s="185" t="s">
        <v>75</v>
      </c>
      <c r="G38" s="185" t="s">
        <v>75</v>
      </c>
      <c r="H38" s="185" t="s">
        <v>75</v>
      </c>
      <c r="I38" s="185" t="s">
        <v>75</v>
      </c>
      <c r="J38" s="185" t="s">
        <v>75</v>
      </c>
      <c r="K38" s="185" t="s">
        <v>75</v>
      </c>
    </row>
    <row r="39" spans="1:11">
      <c r="A39" s="181">
        <v>2026</v>
      </c>
      <c r="B39" s="186">
        <v>16021</v>
      </c>
      <c r="C39" s="186">
        <v>1497</v>
      </c>
      <c r="D39" s="185" t="s">
        <v>75</v>
      </c>
      <c r="E39" s="185" t="s">
        <v>75</v>
      </c>
      <c r="F39" s="185" t="s">
        <v>75</v>
      </c>
      <c r="G39" s="185" t="s">
        <v>75</v>
      </c>
      <c r="H39" s="185" t="s">
        <v>75</v>
      </c>
      <c r="I39" s="185" t="s">
        <v>75</v>
      </c>
      <c r="J39" s="185" t="s">
        <v>75</v>
      </c>
      <c r="K39" s="185" t="s">
        <v>75</v>
      </c>
    </row>
    <row r="40" spans="1:11">
      <c r="A40" s="181">
        <v>2027</v>
      </c>
      <c r="B40" s="186">
        <v>16798</v>
      </c>
      <c r="C40" s="186">
        <v>1549</v>
      </c>
      <c r="D40" s="185" t="s">
        <v>75</v>
      </c>
      <c r="E40" s="185" t="s">
        <v>75</v>
      </c>
      <c r="F40" s="185" t="s">
        <v>75</v>
      </c>
      <c r="G40" s="185" t="s">
        <v>75</v>
      </c>
      <c r="H40" s="185" t="s">
        <v>75</v>
      </c>
      <c r="I40" s="185" t="s">
        <v>75</v>
      </c>
      <c r="J40" s="185" t="s">
        <v>75</v>
      </c>
      <c r="K40" s="185" t="s">
        <v>75</v>
      </c>
    </row>
    <row r="41" spans="1:11">
      <c r="A41" s="181">
        <v>2028</v>
      </c>
      <c r="B41" s="186">
        <v>17611</v>
      </c>
      <c r="C41" s="186">
        <v>1603</v>
      </c>
      <c r="D41" s="185" t="s">
        <v>75</v>
      </c>
      <c r="E41" s="185" t="s">
        <v>75</v>
      </c>
      <c r="F41" s="185" t="s">
        <v>75</v>
      </c>
      <c r="G41" s="185" t="s">
        <v>75</v>
      </c>
      <c r="H41" s="185" t="s">
        <v>75</v>
      </c>
      <c r="I41" s="185" t="s">
        <v>75</v>
      </c>
      <c r="J41" s="185" t="s">
        <v>75</v>
      </c>
      <c r="K41" s="185" t="s">
        <v>75</v>
      </c>
    </row>
    <row r="42" spans="1:11" ht="9">
      <c r="A42" s="179" t="s">
        <v>185</v>
      </c>
      <c r="B42" s="180" t="s">
        <v>49</v>
      </c>
      <c r="C42" s="180"/>
      <c r="D42" s="180"/>
      <c r="E42" s="180"/>
      <c r="F42" s="180"/>
      <c r="G42" s="180"/>
      <c r="H42" s="180"/>
      <c r="I42" s="180"/>
      <c r="J42" s="180"/>
      <c r="K42" s="180"/>
    </row>
    <row r="43" spans="1:11">
      <c r="A43" s="181">
        <v>2012</v>
      </c>
      <c r="B43" s="185">
        <v>100</v>
      </c>
      <c r="C43" s="185">
        <v>11.4</v>
      </c>
      <c r="D43" s="185">
        <v>72.2</v>
      </c>
      <c r="E43" s="185">
        <v>33</v>
      </c>
      <c r="F43" s="185">
        <v>20.399999999999999</v>
      </c>
      <c r="G43" s="185">
        <v>15.2</v>
      </c>
      <c r="H43" s="185">
        <v>3.7</v>
      </c>
      <c r="I43" s="185">
        <v>8.1</v>
      </c>
      <c r="J43" s="185">
        <v>2.8</v>
      </c>
      <c r="K43" s="185">
        <v>5.5</v>
      </c>
    </row>
    <row r="44" spans="1:11">
      <c r="A44" s="181">
        <v>2013</v>
      </c>
      <c r="B44" s="185">
        <v>100</v>
      </c>
      <c r="C44" s="185">
        <v>11.4</v>
      </c>
      <c r="D44" s="185">
        <v>72.3</v>
      </c>
      <c r="E44" s="185">
        <v>32.700000000000003</v>
      </c>
      <c r="F44" s="185">
        <v>20.5</v>
      </c>
      <c r="G44" s="185">
        <v>15.5</v>
      </c>
      <c r="H44" s="185">
        <v>3.7</v>
      </c>
      <c r="I44" s="185">
        <v>8.1999999999999993</v>
      </c>
      <c r="J44" s="185">
        <v>2.7</v>
      </c>
      <c r="K44" s="185">
        <v>5.4</v>
      </c>
    </row>
    <row r="45" spans="1:11">
      <c r="A45" s="181">
        <v>2014</v>
      </c>
      <c r="B45" s="185">
        <v>100</v>
      </c>
      <c r="C45" s="185">
        <v>11</v>
      </c>
      <c r="D45" s="185">
        <v>73.5</v>
      </c>
      <c r="E45" s="185">
        <v>32.9</v>
      </c>
      <c r="F45" s="185">
        <v>20.399999999999999</v>
      </c>
      <c r="G45" s="185">
        <v>16.5</v>
      </c>
      <c r="H45" s="185">
        <v>3.7</v>
      </c>
      <c r="I45" s="185">
        <v>7.9</v>
      </c>
      <c r="J45" s="185">
        <v>2.7</v>
      </c>
      <c r="K45" s="185">
        <v>5</v>
      </c>
    </row>
    <row r="46" spans="1:11">
      <c r="A46" s="181">
        <v>2015</v>
      </c>
      <c r="B46" s="185">
        <v>100</v>
      </c>
      <c r="C46" s="185">
        <v>10.7</v>
      </c>
      <c r="D46" s="185">
        <v>74.2</v>
      </c>
      <c r="E46" s="185">
        <v>33.200000000000003</v>
      </c>
      <c r="F46" s="185">
        <v>20.3</v>
      </c>
      <c r="G46" s="185">
        <v>17</v>
      </c>
      <c r="H46" s="185">
        <v>3.8</v>
      </c>
      <c r="I46" s="185">
        <v>7.6</v>
      </c>
      <c r="J46" s="185">
        <v>2.7</v>
      </c>
      <c r="K46" s="185">
        <v>4.8</v>
      </c>
    </row>
    <row r="47" spans="1:11">
      <c r="A47" s="181">
        <v>2016</v>
      </c>
      <c r="B47" s="185">
        <v>100</v>
      </c>
      <c r="C47" s="185">
        <v>10.7</v>
      </c>
      <c r="D47" s="185">
        <v>74.3</v>
      </c>
      <c r="E47" s="185">
        <v>33.5</v>
      </c>
      <c r="F47" s="185">
        <v>20.2</v>
      </c>
      <c r="G47" s="185">
        <v>16.899999999999999</v>
      </c>
      <c r="H47" s="185">
        <v>3.7</v>
      </c>
      <c r="I47" s="185">
        <v>7.7</v>
      </c>
      <c r="J47" s="185">
        <v>2.6</v>
      </c>
      <c r="K47" s="185">
        <v>4.7</v>
      </c>
    </row>
    <row r="48" spans="1:11">
      <c r="A48" s="181">
        <v>2017</v>
      </c>
      <c r="B48" s="185">
        <v>100</v>
      </c>
      <c r="C48" s="185">
        <v>10.5</v>
      </c>
      <c r="D48" s="185">
        <v>74.3</v>
      </c>
      <c r="E48" s="185">
        <v>33.700000000000003</v>
      </c>
      <c r="F48" s="185">
        <v>20.2</v>
      </c>
      <c r="G48" s="185">
        <v>16.600000000000001</v>
      </c>
      <c r="H48" s="185">
        <v>3.8</v>
      </c>
      <c r="I48" s="185">
        <v>7.7</v>
      </c>
      <c r="J48" s="185">
        <v>2.6</v>
      </c>
      <c r="K48" s="185">
        <v>4.8</v>
      </c>
    </row>
    <row r="49" spans="1:11">
      <c r="A49" s="181">
        <v>2018</v>
      </c>
      <c r="B49" s="185">
        <v>100</v>
      </c>
      <c r="C49" s="185">
        <v>10.3</v>
      </c>
      <c r="D49" s="185">
        <v>74.8</v>
      </c>
      <c r="E49" s="185">
        <v>34.1</v>
      </c>
      <c r="F49" s="185">
        <v>20.6</v>
      </c>
      <c r="G49" s="185">
        <v>16.399999999999999</v>
      </c>
      <c r="H49" s="185">
        <v>3.8</v>
      </c>
      <c r="I49" s="185">
        <v>7.6</v>
      </c>
      <c r="J49" s="185">
        <v>2.6</v>
      </c>
      <c r="K49" s="185">
        <v>4.8</v>
      </c>
    </row>
    <row r="50" spans="1:11">
      <c r="A50" s="170" t="s">
        <v>62</v>
      </c>
      <c r="B50" s="185"/>
      <c r="C50" s="185"/>
      <c r="D50" s="185"/>
      <c r="E50" s="185"/>
      <c r="F50" s="185"/>
      <c r="G50" s="185"/>
      <c r="H50" s="185"/>
      <c r="I50" s="185"/>
      <c r="J50" s="185"/>
      <c r="K50" s="185"/>
    </row>
    <row r="51" spans="1:11">
      <c r="A51" s="181">
        <v>2019</v>
      </c>
      <c r="B51" s="183">
        <v>100</v>
      </c>
      <c r="C51" s="183">
        <v>10.199999999999999</v>
      </c>
      <c r="D51" s="183">
        <v>74.900000000000006</v>
      </c>
      <c r="E51" s="183">
        <v>33.799999999999997</v>
      </c>
      <c r="F51" s="183">
        <v>21</v>
      </c>
      <c r="G51" s="183">
        <v>16.3</v>
      </c>
      <c r="H51" s="183">
        <v>3.8</v>
      </c>
      <c r="I51" s="185">
        <v>7.6</v>
      </c>
      <c r="J51" s="185">
        <v>2.5</v>
      </c>
      <c r="K51" s="185">
        <v>4.8</v>
      </c>
    </row>
    <row r="52" spans="1:11">
      <c r="A52" s="181">
        <v>2020</v>
      </c>
      <c r="B52" s="183">
        <v>100</v>
      </c>
      <c r="C52" s="183">
        <v>10.1</v>
      </c>
      <c r="D52" s="183">
        <v>75.2</v>
      </c>
      <c r="E52" s="183">
        <v>33.799999999999997</v>
      </c>
      <c r="F52" s="183">
        <v>21.4</v>
      </c>
      <c r="G52" s="183">
        <v>16.2</v>
      </c>
      <c r="H52" s="183">
        <v>3.9</v>
      </c>
      <c r="I52" s="185">
        <v>7.5</v>
      </c>
      <c r="J52" s="185">
        <v>2.5</v>
      </c>
      <c r="K52" s="185">
        <v>4.7</v>
      </c>
    </row>
    <row r="53" spans="1:11">
      <c r="A53" s="181">
        <v>2021</v>
      </c>
      <c r="B53" s="183">
        <v>100</v>
      </c>
      <c r="C53" s="183">
        <v>10</v>
      </c>
      <c r="D53" s="183">
        <v>75.5</v>
      </c>
      <c r="E53" s="183">
        <v>33.4</v>
      </c>
      <c r="F53" s="183">
        <v>21.9</v>
      </c>
      <c r="G53" s="183">
        <v>16.2</v>
      </c>
      <c r="H53" s="183">
        <v>3.9</v>
      </c>
      <c r="I53" s="185">
        <v>7.4</v>
      </c>
      <c r="J53" s="185">
        <v>2.4</v>
      </c>
      <c r="K53" s="185">
        <v>4.8</v>
      </c>
    </row>
    <row r="54" spans="1:11">
      <c r="A54" s="181">
        <v>2022</v>
      </c>
      <c r="B54" s="183">
        <v>100</v>
      </c>
      <c r="C54" s="183">
        <v>9.9</v>
      </c>
      <c r="D54" s="183">
        <v>75.7</v>
      </c>
      <c r="E54" s="183">
        <v>33.200000000000003</v>
      </c>
      <c r="F54" s="183">
        <v>22.4</v>
      </c>
      <c r="G54" s="183">
        <v>16.3</v>
      </c>
      <c r="H54" s="183">
        <v>3.9</v>
      </c>
      <c r="I54" s="185">
        <v>7.3</v>
      </c>
      <c r="J54" s="185">
        <v>2.4</v>
      </c>
      <c r="K54" s="185">
        <v>4.8</v>
      </c>
    </row>
    <row r="55" spans="1:11">
      <c r="A55" s="181">
        <v>2023</v>
      </c>
      <c r="B55" s="183">
        <v>100</v>
      </c>
      <c r="C55" s="183">
        <v>9.6999999999999993</v>
      </c>
      <c r="D55" s="183">
        <v>76</v>
      </c>
      <c r="E55" s="183">
        <v>33</v>
      </c>
      <c r="F55" s="183">
        <v>22.9</v>
      </c>
      <c r="G55" s="183">
        <v>16.3</v>
      </c>
      <c r="H55" s="183">
        <v>3.9</v>
      </c>
      <c r="I55" s="185">
        <v>7.2</v>
      </c>
      <c r="J55" s="185">
        <v>2.2999999999999998</v>
      </c>
      <c r="K55" s="185">
        <v>4.8</v>
      </c>
    </row>
    <row r="56" spans="1:11">
      <c r="A56" s="181">
        <v>2024</v>
      </c>
      <c r="B56" s="183">
        <v>100</v>
      </c>
      <c r="C56" s="183">
        <v>9.6</v>
      </c>
      <c r="D56" s="183">
        <v>76.3</v>
      </c>
      <c r="E56" s="183">
        <v>32.9</v>
      </c>
      <c r="F56" s="183">
        <v>23.4</v>
      </c>
      <c r="G56" s="183">
        <v>16.2</v>
      </c>
      <c r="H56" s="183">
        <v>3.9</v>
      </c>
      <c r="I56" s="185">
        <v>7.1</v>
      </c>
      <c r="J56" s="185">
        <v>2.2999999999999998</v>
      </c>
      <c r="K56" s="185">
        <v>4.7</v>
      </c>
    </row>
    <row r="57" spans="1:11">
      <c r="A57" s="181">
        <v>2025</v>
      </c>
      <c r="B57" s="183">
        <v>100</v>
      </c>
      <c r="C57" s="183">
        <v>9.5</v>
      </c>
      <c r="D57" s="183">
        <v>76.599999999999994</v>
      </c>
      <c r="E57" s="183">
        <v>32.700000000000003</v>
      </c>
      <c r="F57" s="183">
        <v>23.8</v>
      </c>
      <c r="G57" s="183">
        <v>16.2</v>
      </c>
      <c r="H57" s="183">
        <v>3.8</v>
      </c>
      <c r="I57" s="185">
        <v>7</v>
      </c>
      <c r="J57" s="185">
        <v>2.2000000000000002</v>
      </c>
      <c r="K57" s="185">
        <v>4.7</v>
      </c>
    </row>
    <row r="58" spans="1:11">
      <c r="A58" s="181">
        <v>2026</v>
      </c>
      <c r="B58" s="183">
        <v>100</v>
      </c>
      <c r="C58" s="183">
        <v>9.3000000000000007</v>
      </c>
      <c r="D58" s="183">
        <v>76.900000000000006</v>
      </c>
      <c r="E58" s="183">
        <v>32.4</v>
      </c>
      <c r="F58" s="183">
        <v>24.2</v>
      </c>
      <c r="G58" s="183">
        <v>16.399999999999999</v>
      </c>
      <c r="H58" s="183">
        <v>3.8</v>
      </c>
      <c r="I58" s="185">
        <v>6.9</v>
      </c>
      <c r="J58" s="185">
        <v>2.2000000000000002</v>
      </c>
      <c r="K58" s="185">
        <v>4.7</v>
      </c>
    </row>
    <row r="59" spans="1:11">
      <c r="A59" s="181">
        <v>2027</v>
      </c>
      <c r="B59" s="183">
        <v>100</v>
      </c>
      <c r="C59" s="183">
        <v>9.1999999999999993</v>
      </c>
      <c r="D59" s="183">
        <v>77.099999999999994</v>
      </c>
      <c r="E59" s="183">
        <v>32.200000000000003</v>
      </c>
      <c r="F59" s="183">
        <v>24.7</v>
      </c>
      <c r="G59" s="183">
        <v>16.399999999999999</v>
      </c>
      <c r="H59" s="183">
        <v>3.8</v>
      </c>
      <c r="I59" s="185">
        <v>6.8</v>
      </c>
      <c r="J59" s="185">
        <v>2.2000000000000002</v>
      </c>
      <c r="K59" s="185">
        <v>4.7</v>
      </c>
    </row>
    <row r="60" spans="1:11">
      <c r="A60" s="181">
        <v>2028</v>
      </c>
      <c r="B60" s="183">
        <v>100</v>
      </c>
      <c r="C60" s="183">
        <v>9.1</v>
      </c>
      <c r="D60" s="183">
        <v>77.400000000000006</v>
      </c>
      <c r="E60" s="183">
        <v>32</v>
      </c>
      <c r="F60" s="183">
        <v>25.2</v>
      </c>
      <c r="G60" s="183">
        <v>16.399999999999999</v>
      </c>
      <c r="H60" s="183">
        <v>3.8</v>
      </c>
      <c r="I60" s="185">
        <v>6.7</v>
      </c>
      <c r="J60" s="185">
        <v>2.1</v>
      </c>
      <c r="K60" s="185">
        <v>4.7</v>
      </c>
    </row>
    <row r="61" spans="1:11" ht="9">
      <c r="A61" s="179" t="s">
        <v>185</v>
      </c>
      <c r="B61" s="180" t="s">
        <v>186</v>
      </c>
      <c r="C61" s="180"/>
      <c r="D61" s="180"/>
      <c r="E61" s="180"/>
      <c r="F61" s="180"/>
      <c r="G61" s="180"/>
      <c r="H61" s="180"/>
      <c r="I61" s="180"/>
      <c r="J61" s="180"/>
      <c r="K61" s="180"/>
    </row>
    <row r="62" spans="1:11">
      <c r="A62" s="181">
        <v>2012</v>
      </c>
      <c r="B62" s="185" t="s">
        <v>75</v>
      </c>
      <c r="C62" s="185" t="s">
        <v>75</v>
      </c>
      <c r="D62" s="185" t="s">
        <v>75</v>
      </c>
      <c r="E62" s="185" t="s">
        <v>75</v>
      </c>
      <c r="F62" s="185" t="s">
        <v>75</v>
      </c>
      <c r="G62" s="185" t="s">
        <v>75</v>
      </c>
      <c r="H62" s="185" t="s">
        <v>75</v>
      </c>
      <c r="I62" s="185" t="s">
        <v>75</v>
      </c>
      <c r="J62" s="185" t="s">
        <v>75</v>
      </c>
      <c r="K62" s="185" t="s">
        <v>75</v>
      </c>
    </row>
    <row r="63" spans="1:11">
      <c r="A63" s="181">
        <v>2013</v>
      </c>
      <c r="B63" s="185">
        <v>3</v>
      </c>
      <c r="C63" s="185">
        <v>2.4</v>
      </c>
      <c r="D63" s="185">
        <v>3.1</v>
      </c>
      <c r="E63" s="185">
        <v>1.9</v>
      </c>
      <c r="F63" s="185">
        <v>3.6</v>
      </c>
      <c r="G63" s="185">
        <v>5.3</v>
      </c>
      <c r="H63" s="185">
        <v>3.5</v>
      </c>
      <c r="I63" s="185">
        <v>4.5999999999999996</v>
      </c>
      <c r="J63" s="185">
        <v>2.2999999999999998</v>
      </c>
      <c r="K63" s="185">
        <v>0.5</v>
      </c>
    </row>
    <row r="64" spans="1:11">
      <c r="A64" s="181">
        <v>2014</v>
      </c>
      <c r="B64" s="185">
        <v>5.2</v>
      </c>
      <c r="C64" s="185">
        <v>1.5</v>
      </c>
      <c r="D64" s="185">
        <v>6.9</v>
      </c>
      <c r="E64" s="185">
        <v>5.9</v>
      </c>
      <c r="F64" s="185">
        <v>5</v>
      </c>
      <c r="G64" s="185">
        <v>11.8</v>
      </c>
      <c r="H64" s="185">
        <v>6.3</v>
      </c>
      <c r="I64" s="185">
        <v>1.2</v>
      </c>
      <c r="J64" s="185">
        <v>3.8</v>
      </c>
      <c r="K64" s="185">
        <v>-2.8</v>
      </c>
    </row>
    <row r="65" spans="1:11">
      <c r="A65" s="181">
        <v>2015</v>
      </c>
      <c r="B65" s="185">
        <v>5.8</v>
      </c>
      <c r="C65" s="185">
        <v>3</v>
      </c>
      <c r="D65" s="185">
        <v>6.8</v>
      </c>
      <c r="E65" s="185">
        <v>6.7</v>
      </c>
      <c r="F65" s="185">
        <v>4.9000000000000004</v>
      </c>
      <c r="G65" s="185">
        <v>9</v>
      </c>
      <c r="H65" s="185">
        <v>7.5</v>
      </c>
      <c r="I65" s="185">
        <v>2.4</v>
      </c>
      <c r="J65" s="185">
        <v>4.5999999999999996</v>
      </c>
      <c r="K65" s="185">
        <v>2.9</v>
      </c>
    </row>
    <row r="66" spans="1:11">
      <c r="A66" s="181">
        <v>2016</v>
      </c>
      <c r="B66" s="185">
        <v>4.5999999999999996</v>
      </c>
      <c r="C66" s="185">
        <v>4.5</v>
      </c>
      <c r="D66" s="185">
        <v>4.8</v>
      </c>
      <c r="E66" s="185">
        <v>5.6</v>
      </c>
      <c r="F66" s="185">
        <v>4.3</v>
      </c>
      <c r="G66" s="185">
        <v>4.2</v>
      </c>
      <c r="H66" s="185">
        <v>3.6</v>
      </c>
      <c r="I66" s="185">
        <v>5.2</v>
      </c>
      <c r="J66" s="185">
        <v>3.4</v>
      </c>
      <c r="K66" s="185">
        <v>1.7</v>
      </c>
    </row>
    <row r="67" spans="1:11">
      <c r="A67" s="181">
        <v>2017</v>
      </c>
      <c r="B67" s="185">
        <v>4.2</v>
      </c>
      <c r="C67" s="185">
        <v>2.2000000000000002</v>
      </c>
      <c r="D67" s="185">
        <v>4.2</v>
      </c>
      <c r="E67" s="185">
        <v>4.9000000000000004</v>
      </c>
      <c r="F67" s="185">
        <v>4.2</v>
      </c>
      <c r="G67" s="185">
        <v>2.6</v>
      </c>
      <c r="H67" s="185">
        <v>5.3</v>
      </c>
      <c r="I67" s="185">
        <v>5</v>
      </c>
      <c r="J67" s="185">
        <v>3</v>
      </c>
      <c r="K67" s="185">
        <v>7.4</v>
      </c>
    </row>
    <row r="68" spans="1:11">
      <c r="A68" s="181">
        <v>2018</v>
      </c>
      <c r="B68" s="185">
        <v>4.5999999999999996</v>
      </c>
      <c r="C68" s="185">
        <v>2.8</v>
      </c>
      <c r="D68" s="185">
        <v>5.3</v>
      </c>
      <c r="E68" s="185">
        <v>5.8</v>
      </c>
      <c r="F68" s="185">
        <v>6.4</v>
      </c>
      <c r="G68" s="185">
        <v>3</v>
      </c>
      <c r="H68" s="185">
        <v>4.7</v>
      </c>
      <c r="I68" s="185">
        <v>2.5</v>
      </c>
      <c r="J68" s="185">
        <v>2.4</v>
      </c>
      <c r="K68" s="185">
        <v>3.6</v>
      </c>
    </row>
    <row r="69" spans="1:11">
      <c r="A69" s="170" t="s">
        <v>62</v>
      </c>
      <c r="B69" s="185"/>
      <c r="C69" s="185"/>
      <c r="D69" s="185"/>
      <c r="E69" s="185"/>
      <c r="F69" s="185"/>
      <c r="G69" s="185"/>
      <c r="H69" s="185"/>
      <c r="I69" s="185"/>
      <c r="J69" s="185"/>
      <c r="K69" s="185"/>
    </row>
    <row r="70" spans="1:11">
      <c r="A70" s="181">
        <v>2019</v>
      </c>
      <c r="B70" s="185">
        <v>4.5</v>
      </c>
      <c r="C70" s="185">
        <v>3.7</v>
      </c>
      <c r="D70" s="185">
        <v>4.7</v>
      </c>
      <c r="E70" s="185">
        <v>3.8</v>
      </c>
      <c r="F70" s="185">
        <v>6.7</v>
      </c>
      <c r="G70" s="185">
        <v>3.9</v>
      </c>
      <c r="H70" s="185">
        <v>6</v>
      </c>
      <c r="I70" s="185">
        <v>4.3</v>
      </c>
      <c r="J70" s="185">
        <v>3.1</v>
      </c>
      <c r="K70" s="185">
        <v>4</v>
      </c>
    </row>
    <row r="71" spans="1:11">
      <c r="A71" s="181">
        <v>2020</v>
      </c>
      <c r="B71" s="185">
        <v>5.2</v>
      </c>
      <c r="C71" s="185">
        <v>4</v>
      </c>
      <c r="D71" s="185">
        <v>5.7</v>
      </c>
      <c r="E71" s="185">
        <v>5.2</v>
      </c>
      <c r="F71" s="185">
        <v>7.2</v>
      </c>
      <c r="G71" s="185">
        <v>4.5</v>
      </c>
      <c r="H71" s="185">
        <v>6.2</v>
      </c>
      <c r="I71" s="185">
        <v>3.6</v>
      </c>
      <c r="J71" s="185">
        <v>2.5</v>
      </c>
      <c r="K71" s="185">
        <v>5.0999999999999996</v>
      </c>
    </row>
    <row r="72" spans="1:11">
      <c r="A72" s="181">
        <v>2021</v>
      </c>
      <c r="B72" s="185">
        <v>5.0999999999999996</v>
      </c>
      <c r="C72" s="185">
        <v>4</v>
      </c>
      <c r="D72" s="185">
        <v>5.4</v>
      </c>
      <c r="E72" s="185">
        <v>4</v>
      </c>
      <c r="F72" s="185">
        <v>7.5</v>
      </c>
      <c r="G72" s="185">
        <v>5.5</v>
      </c>
      <c r="H72" s="185">
        <v>5.5</v>
      </c>
      <c r="I72" s="185">
        <v>4</v>
      </c>
      <c r="J72" s="185">
        <v>3</v>
      </c>
      <c r="K72" s="185">
        <v>5.2</v>
      </c>
    </row>
    <row r="73" spans="1:11">
      <c r="A73" s="181">
        <v>2022</v>
      </c>
      <c r="B73" s="185">
        <v>5.7</v>
      </c>
      <c r="C73" s="185">
        <v>4.2</v>
      </c>
      <c r="D73" s="185">
        <v>6.1</v>
      </c>
      <c r="E73" s="185">
        <v>4.9000000000000004</v>
      </c>
      <c r="F73" s="185">
        <v>8</v>
      </c>
      <c r="G73" s="185">
        <v>5.9</v>
      </c>
      <c r="H73" s="185">
        <v>5.4</v>
      </c>
      <c r="I73" s="185">
        <v>4.0999999999999996</v>
      </c>
      <c r="J73" s="185">
        <v>3.5</v>
      </c>
      <c r="K73" s="185">
        <v>6</v>
      </c>
    </row>
    <row r="74" spans="1:11">
      <c r="A74" s="181">
        <v>2023</v>
      </c>
      <c r="B74" s="185">
        <v>5.6</v>
      </c>
      <c r="C74" s="185">
        <v>4.3</v>
      </c>
      <c r="D74" s="185">
        <v>6</v>
      </c>
      <c r="E74" s="185">
        <v>5</v>
      </c>
      <c r="F74" s="185">
        <v>7.9</v>
      </c>
      <c r="G74" s="185">
        <v>5.7</v>
      </c>
      <c r="H74" s="185">
        <v>5.3</v>
      </c>
      <c r="I74" s="185">
        <v>4.0999999999999996</v>
      </c>
      <c r="J74" s="185">
        <v>3.5</v>
      </c>
      <c r="K74" s="185">
        <v>5.2</v>
      </c>
    </row>
    <row r="75" spans="1:11">
      <c r="A75" s="181">
        <v>2024</v>
      </c>
      <c r="B75" s="185">
        <v>5.5</v>
      </c>
      <c r="C75" s="185">
        <v>4.3</v>
      </c>
      <c r="D75" s="185">
        <v>5.9</v>
      </c>
      <c r="E75" s="185">
        <v>5</v>
      </c>
      <c r="F75" s="185">
        <v>7.9</v>
      </c>
      <c r="G75" s="185">
        <v>5.0999999999999996</v>
      </c>
      <c r="H75" s="185">
        <v>5.0999999999999996</v>
      </c>
      <c r="I75" s="185">
        <v>4.2</v>
      </c>
      <c r="J75" s="185">
        <v>3.3</v>
      </c>
      <c r="K75" s="185">
        <v>5.2</v>
      </c>
    </row>
    <row r="76" spans="1:11">
      <c r="A76" s="181">
        <v>2025</v>
      </c>
      <c r="B76" s="185">
        <v>5.7</v>
      </c>
      <c r="C76" s="185">
        <v>4.2</v>
      </c>
      <c r="D76" s="185">
        <v>6.1</v>
      </c>
      <c r="E76" s="185">
        <v>5</v>
      </c>
      <c r="F76" s="185">
        <v>7.7</v>
      </c>
      <c r="G76" s="185">
        <v>6</v>
      </c>
      <c r="H76" s="185">
        <v>5.0999999999999996</v>
      </c>
      <c r="I76" s="185">
        <v>4.2</v>
      </c>
      <c r="J76" s="185">
        <v>3.8</v>
      </c>
      <c r="K76" s="185">
        <v>5.3</v>
      </c>
    </row>
    <row r="77" spans="1:11">
      <c r="A77" s="181">
        <v>2026</v>
      </c>
      <c r="B77" s="185">
        <v>5.8</v>
      </c>
      <c r="C77" s="185">
        <v>4.3</v>
      </c>
      <c r="D77" s="185">
        <v>6.2</v>
      </c>
      <c r="E77" s="185">
        <v>5</v>
      </c>
      <c r="F77" s="185">
        <v>7.5</v>
      </c>
      <c r="G77" s="185">
        <v>6.8</v>
      </c>
      <c r="H77" s="185">
        <v>5.2</v>
      </c>
      <c r="I77" s="185">
        <v>4.3</v>
      </c>
      <c r="J77" s="185">
        <v>4</v>
      </c>
      <c r="K77" s="185">
        <v>5.3</v>
      </c>
    </row>
    <row r="78" spans="1:11">
      <c r="A78" s="181">
        <v>2027</v>
      </c>
      <c r="B78" s="185">
        <v>5.6</v>
      </c>
      <c r="C78" s="185">
        <v>4.3</v>
      </c>
      <c r="D78" s="185">
        <v>6</v>
      </c>
      <c r="E78" s="185">
        <v>5</v>
      </c>
      <c r="F78" s="185">
        <v>7.7</v>
      </c>
      <c r="G78" s="185">
        <v>5.7</v>
      </c>
      <c r="H78" s="185">
        <v>5.4</v>
      </c>
      <c r="I78" s="185">
        <v>4.2</v>
      </c>
      <c r="J78" s="185">
        <v>3.7</v>
      </c>
      <c r="K78" s="185">
        <v>5.3</v>
      </c>
    </row>
    <row r="79" spans="1:11">
      <c r="A79" s="181">
        <v>2028</v>
      </c>
      <c r="B79" s="188">
        <v>5.6</v>
      </c>
      <c r="C79" s="188">
        <v>4.3</v>
      </c>
      <c r="D79" s="188">
        <v>6</v>
      </c>
      <c r="E79" s="188">
        <v>4.9000000000000004</v>
      </c>
      <c r="F79" s="188">
        <v>7.6</v>
      </c>
      <c r="G79" s="188">
        <v>5.7</v>
      </c>
      <c r="H79" s="188">
        <v>5.5</v>
      </c>
      <c r="I79" s="185">
        <v>4.2</v>
      </c>
      <c r="J79" s="188">
        <v>3.5</v>
      </c>
      <c r="K79" s="188">
        <v>5.2</v>
      </c>
    </row>
    <row r="80" spans="1:11" ht="9">
      <c r="A80" s="520" t="s">
        <v>1065</v>
      </c>
      <c r="B80" s="520"/>
      <c r="C80" s="520"/>
      <c r="D80" s="520"/>
      <c r="E80" s="520"/>
      <c r="F80" s="520"/>
      <c r="G80" s="520"/>
      <c r="H80" s="520"/>
      <c r="I80" s="520"/>
      <c r="J80" s="520"/>
      <c r="K80" s="520"/>
    </row>
    <row r="81" spans="1:11" ht="9">
      <c r="A81" s="521" t="s">
        <v>1066</v>
      </c>
      <c r="B81" s="519"/>
      <c r="C81" s="519"/>
      <c r="D81" s="519"/>
      <c r="E81" s="519"/>
      <c r="F81" s="519"/>
      <c r="G81" s="519"/>
      <c r="H81" s="519"/>
      <c r="I81" s="519"/>
      <c r="J81" s="519"/>
      <c r="K81" s="519"/>
    </row>
    <row r="82" spans="1:11" ht="9.75" customHeight="1">
      <c r="A82" s="508" t="s">
        <v>187</v>
      </c>
      <c r="B82" s="508"/>
      <c r="C82" s="508"/>
      <c r="D82" s="508"/>
      <c r="E82" s="508"/>
      <c r="F82" s="508"/>
      <c r="G82" s="508"/>
      <c r="H82" s="508"/>
      <c r="I82" s="508"/>
      <c r="J82" s="508"/>
      <c r="K82" s="508"/>
    </row>
    <row r="83" spans="1:11" ht="9">
      <c r="A83" s="522" t="s">
        <v>188</v>
      </c>
      <c r="B83" s="522"/>
      <c r="C83" s="522"/>
      <c r="D83" s="522"/>
      <c r="E83" s="522"/>
      <c r="F83" s="522"/>
      <c r="G83" s="522"/>
      <c r="H83" s="522"/>
      <c r="I83" s="522"/>
      <c r="J83" s="522"/>
      <c r="K83" s="522"/>
    </row>
    <row r="84" spans="1:11">
      <c r="A84" s="509" t="s">
        <v>189</v>
      </c>
      <c r="B84" s="509"/>
      <c r="C84" s="509"/>
      <c r="D84" s="509"/>
      <c r="E84" s="509"/>
      <c r="F84" s="509"/>
      <c r="G84" s="509"/>
      <c r="H84" s="509"/>
      <c r="I84" s="509"/>
      <c r="J84" s="509"/>
      <c r="K84" s="509"/>
    </row>
    <row r="85" spans="1:11" ht="8.25" customHeight="1">
      <c r="A85" s="509" t="s">
        <v>190</v>
      </c>
      <c r="B85" s="509"/>
      <c r="C85" s="509"/>
      <c r="D85" s="509"/>
      <c r="E85" s="509"/>
      <c r="F85" s="509"/>
      <c r="G85" s="509"/>
      <c r="H85" s="509"/>
      <c r="I85" s="509"/>
      <c r="J85" s="509"/>
      <c r="K85" s="509"/>
    </row>
    <row r="90" spans="1:11">
      <c r="A90" s="189" t="s">
        <v>60</v>
      </c>
    </row>
  </sheetData>
  <pageMargins left="0.7" right="0.7" top="0.75" bottom="0.75" header="0.3" footer="0.3"/>
  <pageSetup scale="97" orientation="landscape"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199"/>
  <sheetViews>
    <sheetView topLeftCell="A188" zoomScale="120" zoomScaleNormal="120" workbookViewId="0">
      <selection activeCell="B203" sqref="B203"/>
    </sheetView>
  </sheetViews>
  <sheetFormatPr defaultColWidth="8.453125" defaultRowHeight="12.5"/>
  <cols>
    <col min="1" max="1" width="56.453125" style="91" customWidth="1"/>
    <col min="2" max="11" width="10.453125" style="91" customWidth="1"/>
    <col min="12" max="13" width="8.453125" style="91" customWidth="1"/>
    <col min="14" max="14" width="7.1796875" style="91" customWidth="1"/>
    <col min="15" max="18" width="5.453125" style="91" customWidth="1"/>
    <col min="19" max="26" width="5" style="91" customWidth="1"/>
    <col min="27" max="27" width="5.453125" style="91" customWidth="1"/>
    <col min="28" max="28" width="10.453125" style="91" customWidth="1"/>
    <col min="29" max="16384" width="8.453125" style="91"/>
  </cols>
  <sheetData>
    <row r="1" spans="1:69" ht="30.65" customHeight="1" thickBot="1">
      <c r="A1" s="89" t="s">
        <v>95</v>
      </c>
      <c r="B1" s="90"/>
      <c r="C1" s="90"/>
      <c r="D1" s="90"/>
      <c r="E1" s="90"/>
      <c r="F1" s="90"/>
      <c r="G1" s="90"/>
      <c r="H1" s="90"/>
      <c r="I1" s="90"/>
      <c r="J1" s="90"/>
      <c r="K1" s="90"/>
    </row>
    <row r="2" spans="1:69" s="92" customFormat="1" ht="12" customHeight="1" thickBot="1">
      <c r="A2" s="92" t="s">
        <v>47</v>
      </c>
      <c r="B2" s="93" t="s">
        <v>47</v>
      </c>
      <c r="C2" s="93" t="s">
        <v>47</v>
      </c>
      <c r="D2" s="94" t="s">
        <v>96</v>
      </c>
      <c r="E2" s="95"/>
      <c r="F2" s="96"/>
      <c r="G2" s="97"/>
      <c r="H2" s="96"/>
      <c r="I2" s="98"/>
      <c r="J2" s="98"/>
      <c r="K2" s="98"/>
    </row>
    <row r="3" spans="1:69" s="101" customFormat="1" ht="36.75" customHeight="1" thickBot="1">
      <c r="A3" s="99" t="s">
        <v>97</v>
      </c>
      <c r="B3" s="99" t="s">
        <v>98</v>
      </c>
      <c r="C3" s="99" t="s">
        <v>99</v>
      </c>
      <c r="D3" s="99" t="s">
        <v>96</v>
      </c>
      <c r="E3" s="100" t="s">
        <v>100</v>
      </c>
      <c r="F3" s="99" t="s">
        <v>101</v>
      </c>
      <c r="G3" s="99" t="s">
        <v>102</v>
      </c>
      <c r="H3" s="99" t="s">
        <v>103</v>
      </c>
      <c r="I3" s="99" t="s">
        <v>104</v>
      </c>
      <c r="J3" s="99" t="s">
        <v>13</v>
      </c>
      <c r="K3" s="99" t="s">
        <v>71</v>
      </c>
      <c r="V3" s="102"/>
    </row>
    <row r="4" spans="1:69" s="101" customFormat="1" ht="15" customHeight="1">
      <c r="A4" s="103" t="s">
        <v>105</v>
      </c>
      <c r="B4" s="104" t="s">
        <v>24</v>
      </c>
      <c r="C4" s="105"/>
      <c r="D4" s="105"/>
      <c r="E4" s="105"/>
      <c r="F4" s="106"/>
      <c r="G4" s="105"/>
      <c r="H4" s="105"/>
      <c r="I4" s="105"/>
      <c r="J4" s="105"/>
      <c r="K4" s="105"/>
      <c r="L4" s="107"/>
      <c r="M4" s="107"/>
      <c r="N4" s="107"/>
      <c r="O4" s="107"/>
      <c r="P4" s="107"/>
      <c r="Q4" s="107"/>
      <c r="R4" s="107"/>
      <c r="S4" s="107"/>
      <c r="T4" s="107"/>
      <c r="U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row>
    <row r="5" spans="1:69" s="101" customFormat="1" ht="15" customHeight="1">
      <c r="A5" s="103" t="s">
        <v>25</v>
      </c>
      <c r="B5" s="108">
        <v>2783.1</v>
      </c>
      <c r="C5" s="108">
        <v>323.10000000000002</v>
      </c>
      <c r="D5" s="108">
        <v>1971.5</v>
      </c>
      <c r="E5" s="108">
        <v>877.9</v>
      </c>
      <c r="F5" s="108">
        <v>568.4</v>
      </c>
      <c r="G5" s="108">
        <v>422.9</v>
      </c>
      <c r="H5" s="108">
        <v>102.4</v>
      </c>
      <c r="I5" s="108">
        <v>248.2</v>
      </c>
      <c r="J5" s="108">
        <v>77.2</v>
      </c>
      <c r="K5" s="108">
        <v>163.19999999999999</v>
      </c>
      <c r="L5" s="109"/>
      <c r="M5" s="109"/>
      <c r="N5" s="109"/>
      <c r="O5" s="109"/>
      <c r="P5" s="109"/>
      <c r="Q5" s="109"/>
      <c r="R5" s="109"/>
      <c r="S5" s="109"/>
      <c r="T5" s="109"/>
      <c r="U5" s="109"/>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row>
    <row r="6" spans="1:69" s="101" customFormat="1" ht="15" customHeight="1">
      <c r="A6" s="111" t="s">
        <v>106</v>
      </c>
      <c r="B6" s="112">
        <v>2619.9</v>
      </c>
      <c r="C6" s="112">
        <v>323.10000000000002</v>
      </c>
      <c r="D6" s="112">
        <v>1971.5</v>
      </c>
      <c r="E6" s="112">
        <v>877.9</v>
      </c>
      <c r="F6" s="112">
        <v>568.4</v>
      </c>
      <c r="G6" s="112">
        <v>422.9</v>
      </c>
      <c r="H6" s="112">
        <v>102.4</v>
      </c>
      <c r="I6" s="112">
        <v>248.2</v>
      </c>
      <c r="J6" s="112">
        <v>77.2</v>
      </c>
      <c r="K6" s="112">
        <v>0</v>
      </c>
      <c r="L6" s="109"/>
      <c r="M6" s="109"/>
      <c r="N6" s="109"/>
      <c r="O6" s="109"/>
      <c r="P6" s="109"/>
      <c r="Q6" s="109"/>
      <c r="R6" s="109"/>
      <c r="S6" s="109"/>
      <c r="T6" s="109"/>
      <c r="U6" s="109"/>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row>
    <row r="7" spans="1:69" s="101" customFormat="1" ht="15" customHeight="1">
      <c r="A7" s="113" t="s">
        <v>107</v>
      </c>
      <c r="B7" s="112">
        <v>2347.1999999999998</v>
      </c>
      <c r="C7" s="112">
        <v>323.10000000000002</v>
      </c>
      <c r="D7" s="112">
        <v>1797.8298166</v>
      </c>
      <c r="E7" s="112">
        <v>778.46806600000002</v>
      </c>
      <c r="F7" s="112">
        <v>533.70000000000005</v>
      </c>
      <c r="G7" s="112">
        <v>388.4</v>
      </c>
      <c r="H7" s="112">
        <v>97.3</v>
      </c>
      <c r="I7" s="112">
        <v>226.3</v>
      </c>
      <c r="J7" s="112">
        <v>0</v>
      </c>
      <c r="K7" s="112">
        <v>0</v>
      </c>
      <c r="L7" s="109"/>
      <c r="M7" s="109"/>
      <c r="N7" s="109"/>
      <c r="O7" s="109"/>
      <c r="P7" s="109"/>
      <c r="Q7" s="109"/>
      <c r="R7" s="109"/>
      <c r="S7" s="109"/>
      <c r="T7" s="109"/>
      <c r="U7" s="109"/>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row>
    <row r="8" spans="1:69" s="101" customFormat="1" ht="15" customHeight="1">
      <c r="A8" s="113" t="s">
        <v>108</v>
      </c>
      <c r="B8" s="112">
        <v>878</v>
      </c>
      <c r="C8" s="112">
        <v>30.9</v>
      </c>
      <c r="D8" s="112">
        <v>755</v>
      </c>
      <c r="E8" s="112">
        <v>312</v>
      </c>
      <c r="F8" s="112">
        <v>238</v>
      </c>
      <c r="G8" s="112">
        <v>150.69999999999999</v>
      </c>
      <c r="H8" s="112">
        <v>54.4</v>
      </c>
      <c r="I8" s="112">
        <v>92.1</v>
      </c>
      <c r="J8" s="112">
        <v>0</v>
      </c>
      <c r="K8" s="112">
        <v>0</v>
      </c>
      <c r="L8" s="109"/>
      <c r="M8" s="109"/>
      <c r="N8" s="109"/>
      <c r="O8" s="109"/>
      <c r="P8" s="109"/>
      <c r="Q8" s="109"/>
      <c r="R8" s="109"/>
      <c r="S8" s="109"/>
      <c r="T8" s="109"/>
      <c r="U8" s="109"/>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row>
    <row r="9" spans="1:69" s="101" customFormat="1" ht="15" customHeight="1">
      <c r="A9" s="113" t="s">
        <v>109</v>
      </c>
      <c r="B9" s="112">
        <v>743.2</v>
      </c>
      <c r="C9" s="112">
        <v>116.7</v>
      </c>
      <c r="D9" s="112">
        <v>552.1</v>
      </c>
      <c r="E9" s="112">
        <v>316.89999999999998</v>
      </c>
      <c r="F9" s="112">
        <v>147.9</v>
      </c>
      <c r="G9" s="112">
        <v>60.7</v>
      </c>
      <c r="H9" s="112">
        <v>26.7</v>
      </c>
      <c r="I9" s="112">
        <v>74.400000000000006</v>
      </c>
      <c r="J9" s="112">
        <v>0</v>
      </c>
      <c r="K9" s="112">
        <v>0</v>
      </c>
      <c r="L9" s="109"/>
      <c r="M9" s="109"/>
      <c r="N9" s="109"/>
      <c r="O9" s="109"/>
      <c r="P9" s="109"/>
      <c r="Q9" s="109"/>
      <c r="R9" s="109"/>
      <c r="S9" s="109"/>
      <c r="T9" s="109"/>
      <c r="U9" s="109"/>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row>
    <row r="10" spans="1:69" s="101" customFormat="1" ht="15" customHeight="1">
      <c r="A10" s="113" t="s">
        <v>110</v>
      </c>
      <c r="B10" s="112">
        <v>557.1</v>
      </c>
      <c r="C10" s="112">
        <v>50.9</v>
      </c>
      <c r="D10" s="112">
        <v>443.7</v>
      </c>
      <c r="E10" s="112">
        <v>241.6</v>
      </c>
      <c r="F10" s="112">
        <v>131.30000000000001</v>
      </c>
      <c r="G10" s="112">
        <v>47.3</v>
      </c>
      <c r="H10" s="112">
        <v>23.5</v>
      </c>
      <c r="I10" s="112">
        <v>62.5</v>
      </c>
      <c r="J10" s="112">
        <v>0</v>
      </c>
      <c r="K10" s="112">
        <v>0</v>
      </c>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row>
    <row r="11" spans="1:69" s="101" customFormat="1" ht="15" customHeight="1">
      <c r="A11" s="113" t="s">
        <v>111</v>
      </c>
      <c r="B11" s="112">
        <v>76.400000000000006</v>
      </c>
      <c r="C11" s="112">
        <v>19</v>
      </c>
      <c r="D11" s="112">
        <v>47</v>
      </c>
      <c r="E11" s="112">
        <v>25.7</v>
      </c>
      <c r="F11" s="112">
        <v>16.3</v>
      </c>
      <c r="G11" s="112">
        <v>4.8</v>
      </c>
      <c r="H11" s="112">
        <v>0.2</v>
      </c>
      <c r="I11" s="112">
        <v>10.4</v>
      </c>
      <c r="J11" s="112">
        <v>0</v>
      </c>
      <c r="K11" s="112">
        <v>0</v>
      </c>
      <c r="L11" s="109"/>
      <c r="M11" s="109"/>
      <c r="N11" s="109"/>
      <c r="O11" s="109"/>
      <c r="P11" s="109"/>
      <c r="Q11" s="109"/>
      <c r="R11" s="109"/>
      <c r="S11" s="109"/>
      <c r="T11" s="109"/>
      <c r="U11" s="109"/>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row>
    <row r="12" spans="1:69" s="101" customFormat="1" ht="15" customHeight="1">
      <c r="A12" s="113" t="s">
        <v>112</v>
      </c>
      <c r="B12" s="112">
        <v>109.7</v>
      </c>
      <c r="C12" s="112">
        <v>46.7</v>
      </c>
      <c r="D12" s="112">
        <v>61.5</v>
      </c>
      <c r="E12" s="112">
        <v>49.5</v>
      </c>
      <c r="F12" s="112">
        <v>0.4</v>
      </c>
      <c r="G12" s="112">
        <v>8.6</v>
      </c>
      <c r="H12" s="112">
        <v>3</v>
      </c>
      <c r="I12" s="112">
        <v>1.5</v>
      </c>
      <c r="J12" s="112">
        <v>0</v>
      </c>
      <c r="K12" s="112">
        <v>0</v>
      </c>
      <c r="L12" s="109"/>
      <c r="M12" s="109"/>
      <c r="N12" s="109"/>
      <c r="O12" s="109"/>
      <c r="P12" s="109"/>
      <c r="Q12" s="109"/>
      <c r="R12" s="109"/>
      <c r="S12" s="109"/>
      <c r="T12" s="109"/>
      <c r="U12" s="109"/>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row>
    <row r="13" spans="1:69" s="101" customFormat="1" ht="15" customHeight="1">
      <c r="A13" s="113" t="s">
        <v>113</v>
      </c>
      <c r="B13" s="112">
        <v>139.1</v>
      </c>
      <c r="C13" s="112">
        <v>5.6</v>
      </c>
      <c r="D13" s="112">
        <v>92.9</v>
      </c>
      <c r="E13" s="112">
        <v>10.1</v>
      </c>
      <c r="F13" s="112">
        <v>5.0999999999999996</v>
      </c>
      <c r="G13" s="112">
        <v>75.900000000000006</v>
      </c>
      <c r="H13" s="112">
        <v>1.8</v>
      </c>
      <c r="I13" s="112">
        <v>40.6</v>
      </c>
      <c r="J13" s="112">
        <v>0</v>
      </c>
      <c r="K13" s="112">
        <v>0</v>
      </c>
      <c r="L13" s="109"/>
      <c r="M13" s="109"/>
      <c r="N13" s="109"/>
      <c r="O13" s="109"/>
      <c r="P13" s="109"/>
      <c r="Q13" s="109"/>
      <c r="R13" s="109"/>
      <c r="S13" s="109"/>
      <c r="T13" s="109"/>
      <c r="U13" s="109"/>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row>
    <row r="14" spans="1:69" s="101" customFormat="1" ht="15" customHeight="1">
      <c r="A14" s="113" t="s">
        <v>114</v>
      </c>
      <c r="B14" s="112">
        <v>78.099999999999994</v>
      </c>
      <c r="C14" s="112">
        <v>7.5</v>
      </c>
      <c r="D14" s="112">
        <v>68.099999999999994</v>
      </c>
      <c r="E14" s="112">
        <v>7</v>
      </c>
      <c r="F14" s="112">
        <v>33.5</v>
      </c>
      <c r="G14" s="112">
        <v>27.1</v>
      </c>
      <c r="H14" s="112">
        <v>0.4</v>
      </c>
      <c r="I14" s="112">
        <v>2.5</v>
      </c>
      <c r="J14" s="112">
        <v>0</v>
      </c>
      <c r="K14" s="112">
        <v>0</v>
      </c>
      <c r="L14" s="109"/>
      <c r="M14" s="109"/>
      <c r="N14" s="109"/>
      <c r="O14" s="109"/>
      <c r="P14" s="109"/>
      <c r="Q14" s="109"/>
      <c r="R14" s="109"/>
      <c r="S14" s="109"/>
      <c r="T14" s="109"/>
      <c r="U14" s="109"/>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row>
    <row r="15" spans="1:69" s="101" customFormat="1" ht="15" customHeight="1">
      <c r="A15" s="113" t="s">
        <v>115</v>
      </c>
      <c r="B15" s="112">
        <v>147.30000000000001</v>
      </c>
      <c r="C15" s="112">
        <v>38.799999999999997</v>
      </c>
      <c r="D15" s="112">
        <v>97.5</v>
      </c>
      <c r="E15" s="112">
        <v>11.5</v>
      </c>
      <c r="F15" s="112">
        <v>33.9</v>
      </c>
      <c r="G15" s="112">
        <v>47.7</v>
      </c>
      <c r="H15" s="112">
        <v>4.4000000000000004</v>
      </c>
      <c r="I15" s="112">
        <v>11</v>
      </c>
      <c r="J15" s="112">
        <v>0</v>
      </c>
      <c r="K15" s="112">
        <v>0</v>
      </c>
      <c r="L15" s="109"/>
      <c r="M15" s="109"/>
      <c r="N15" s="109"/>
      <c r="O15" s="109"/>
      <c r="P15" s="109"/>
      <c r="Q15" s="109"/>
      <c r="R15" s="109"/>
      <c r="S15" s="109"/>
      <c r="T15" s="109"/>
      <c r="U15" s="109"/>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row>
    <row r="16" spans="1:69" s="101" customFormat="1" ht="15" customHeight="1">
      <c r="A16" s="113" t="s">
        <v>116</v>
      </c>
      <c r="B16" s="112">
        <v>361.5</v>
      </c>
      <c r="C16" s="112">
        <v>123.7</v>
      </c>
      <c r="D16" s="112">
        <v>232.2</v>
      </c>
      <c r="E16" s="112">
        <v>121</v>
      </c>
      <c r="F16" s="112">
        <v>75.3</v>
      </c>
      <c r="G16" s="112">
        <v>26.3</v>
      </c>
      <c r="H16" s="112">
        <v>9.6</v>
      </c>
      <c r="I16" s="112">
        <v>5.6</v>
      </c>
      <c r="J16" s="112">
        <v>0</v>
      </c>
      <c r="K16" s="112">
        <v>0</v>
      </c>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row>
    <row r="17" spans="1:69" s="101" customFormat="1" ht="15" customHeight="1">
      <c r="A17" s="113" t="s">
        <v>117</v>
      </c>
      <c r="B17" s="112">
        <v>257</v>
      </c>
      <c r="C17" s="112">
        <v>45.1</v>
      </c>
      <c r="D17" s="112">
        <v>207.3</v>
      </c>
      <c r="E17" s="112">
        <v>112.8</v>
      </c>
      <c r="F17" s="112">
        <v>63.9</v>
      </c>
      <c r="G17" s="112">
        <v>21</v>
      </c>
      <c r="H17" s="112">
        <v>9.5</v>
      </c>
      <c r="I17" s="112">
        <v>4.5999999999999996</v>
      </c>
      <c r="J17" s="112">
        <v>0</v>
      </c>
      <c r="K17" s="112">
        <v>0</v>
      </c>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row>
    <row r="18" spans="1:69" s="101" customFormat="1" ht="15" customHeight="1">
      <c r="A18" s="113" t="s">
        <v>118</v>
      </c>
      <c r="B18" s="112">
        <v>43.3</v>
      </c>
      <c r="C18" s="112">
        <v>20.6</v>
      </c>
      <c r="D18" s="112">
        <v>21.7</v>
      </c>
      <c r="E18" s="112">
        <v>8.1999999999999993</v>
      </c>
      <c r="F18" s="112">
        <v>8.1</v>
      </c>
      <c r="G18" s="112">
        <v>5.3</v>
      </c>
      <c r="H18" s="112">
        <v>0.1</v>
      </c>
      <c r="I18" s="112">
        <v>1</v>
      </c>
      <c r="J18" s="112">
        <v>0</v>
      </c>
      <c r="K18" s="112">
        <v>0</v>
      </c>
      <c r="L18" s="109"/>
      <c r="M18" s="109"/>
      <c r="N18" s="109"/>
      <c r="O18" s="109"/>
      <c r="P18" s="109"/>
      <c r="Q18" s="109"/>
      <c r="R18" s="109"/>
      <c r="S18" s="109"/>
      <c r="T18" s="109"/>
      <c r="U18" s="109"/>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row>
    <row r="19" spans="1:69" s="101" customFormat="1" ht="15" customHeight="1">
      <c r="A19" s="113" t="s">
        <v>119</v>
      </c>
      <c r="B19" s="112">
        <v>61.2</v>
      </c>
      <c r="C19" s="112">
        <v>57.9</v>
      </c>
      <c r="D19" s="112">
        <v>3.3</v>
      </c>
      <c r="E19" s="112">
        <v>0</v>
      </c>
      <c r="F19" s="112">
        <v>3.3</v>
      </c>
      <c r="G19" s="112">
        <v>0</v>
      </c>
      <c r="H19" s="112">
        <v>0</v>
      </c>
      <c r="I19" s="114">
        <v>0</v>
      </c>
      <c r="J19" s="112">
        <v>0</v>
      </c>
      <c r="K19" s="112">
        <v>0</v>
      </c>
      <c r="L19" s="109"/>
      <c r="M19" s="109"/>
      <c r="N19" s="109"/>
      <c r="O19" s="109"/>
      <c r="P19" s="109"/>
      <c r="Q19" s="109"/>
      <c r="R19" s="109"/>
      <c r="S19" s="109"/>
      <c r="T19" s="109"/>
      <c r="U19" s="109"/>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row>
    <row r="20" spans="1:69" s="101" customFormat="1" ht="15" customHeight="1">
      <c r="A20" s="113" t="s">
        <v>120</v>
      </c>
      <c r="B20" s="112">
        <v>34.200000000000003</v>
      </c>
      <c r="C20" s="112">
        <v>0</v>
      </c>
      <c r="D20" s="112">
        <v>31.8</v>
      </c>
      <c r="E20" s="112">
        <v>0</v>
      </c>
      <c r="F20" s="112">
        <v>8.9</v>
      </c>
      <c r="G20" s="112">
        <v>18.8</v>
      </c>
      <c r="H20" s="112">
        <v>3.9</v>
      </c>
      <c r="I20" s="112">
        <v>2.4</v>
      </c>
      <c r="J20" s="112">
        <v>0</v>
      </c>
      <c r="K20" s="112">
        <v>0</v>
      </c>
      <c r="L20" s="109"/>
      <c r="M20" s="109"/>
      <c r="N20" s="109"/>
      <c r="O20" s="109"/>
      <c r="P20" s="109"/>
      <c r="Q20" s="109"/>
      <c r="R20" s="109"/>
      <c r="S20" s="109"/>
      <c r="T20" s="109"/>
      <c r="U20" s="109"/>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row>
    <row r="21" spans="1:69" s="101" customFormat="1" ht="15" customHeight="1">
      <c r="A21" s="113" t="s">
        <v>121</v>
      </c>
      <c r="B21" s="112">
        <v>161.30000000000001</v>
      </c>
      <c r="C21" s="112">
        <v>0</v>
      </c>
      <c r="D21" s="112">
        <v>141.9</v>
      </c>
      <c r="E21" s="112">
        <v>99.4</v>
      </c>
      <c r="F21" s="112">
        <v>25.8</v>
      </c>
      <c r="G21" s="112">
        <v>15.7</v>
      </c>
      <c r="H21" s="112">
        <v>1</v>
      </c>
      <c r="I21" s="112">
        <v>19.399999999999999</v>
      </c>
      <c r="J21" s="112">
        <v>0</v>
      </c>
      <c r="K21" s="112">
        <v>0</v>
      </c>
      <c r="L21" s="109"/>
      <c r="M21" s="109"/>
      <c r="N21" s="109"/>
      <c r="O21" s="109"/>
      <c r="P21" s="109"/>
      <c r="Q21" s="109"/>
      <c r="R21" s="109"/>
      <c r="S21" s="109"/>
      <c r="T21" s="109"/>
      <c r="U21" s="109"/>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row>
    <row r="22" spans="1:69" s="101" customFormat="1" ht="15" customHeight="1">
      <c r="A22" s="113" t="s">
        <v>122</v>
      </c>
      <c r="B22" s="112">
        <v>77.2</v>
      </c>
      <c r="C22" s="112">
        <v>0</v>
      </c>
      <c r="D22" s="112">
        <v>0</v>
      </c>
      <c r="E22" s="112">
        <v>0</v>
      </c>
      <c r="F22" s="112">
        <v>0</v>
      </c>
      <c r="G22" s="112">
        <v>0</v>
      </c>
      <c r="H22" s="112">
        <v>0</v>
      </c>
      <c r="I22" s="112">
        <v>0</v>
      </c>
      <c r="J22" s="112">
        <v>77.2</v>
      </c>
      <c r="K22" s="112">
        <v>0</v>
      </c>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row>
    <row r="23" spans="1:69" s="101" customFormat="1" ht="15" customHeight="1">
      <c r="A23" s="111" t="s">
        <v>123</v>
      </c>
      <c r="B23" s="112">
        <v>163.19999999999999</v>
      </c>
      <c r="C23" s="112">
        <v>0</v>
      </c>
      <c r="D23" s="112">
        <v>0</v>
      </c>
      <c r="E23" s="112">
        <v>0</v>
      </c>
      <c r="F23" s="112">
        <v>0</v>
      </c>
      <c r="G23" s="112">
        <v>0</v>
      </c>
      <c r="H23" s="112">
        <v>0</v>
      </c>
      <c r="I23" s="112">
        <v>0</v>
      </c>
      <c r="J23" s="112">
        <v>0</v>
      </c>
      <c r="K23" s="112">
        <v>163.19999999999999</v>
      </c>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row>
    <row r="24" spans="1:69" s="101" customFormat="1" ht="15" customHeight="1">
      <c r="A24" s="113" t="s">
        <v>124</v>
      </c>
      <c r="B24" s="112">
        <v>48.4</v>
      </c>
      <c r="C24" s="112">
        <v>0</v>
      </c>
      <c r="D24" s="112">
        <v>0</v>
      </c>
      <c r="E24" s="112">
        <v>0</v>
      </c>
      <c r="F24" s="112">
        <v>0</v>
      </c>
      <c r="G24" s="112">
        <v>0</v>
      </c>
      <c r="H24" s="112">
        <v>0</v>
      </c>
      <c r="I24" s="112">
        <v>0</v>
      </c>
      <c r="J24" s="112">
        <v>0</v>
      </c>
      <c r="K24" s="112">
        <v>48.4</v>
      </c>
      <c r="L24" s="109"/>
      <c r="M24" s="109"/>
      <c r="N24" s="109"/>
      <c r="O24" s="109"/>
      <c r="P24" s="109"/>
      <c r="Q24" s="109"/>
      <c r="R24" s="109"/>
      <c r="S24" s="109"/>
      <c r="T24" s="109"/>
      <c r="U24" s="109"/>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row>
    <row r="25" spans="1:69" s="101" customFormat="1" ht="15" customHeight="1">
      <c r="A25" s="113" t="s">
        <v>125</v>
      </c>
      <c r="B25" s="112">
        <v>114.8</v>
      </c>
      <c r="C25" s="112">
        <v>0</v>
      </c>
      <c r="D25" s="112">
        <v>0</v>
      </c>
      <c r="E25" s="112">
        <v>0</v>
      </c>
      <c r="F25" s="112">
        <v>0</v>
      </c>
      <c r="G25" s="112">
        <v>0</v>
      </c>
      <c r="H25" s="112">
        <v>0</v>
      </c>
      <c r="I25" s="112">
        <v>0</v>
      </c>
      <c r="J25" s="112">
        <v>0</v>
      </c>
      <c r="K25" s="112">
        <v>114.8</v>
      </c>
      <c r="L25" s="109"/>
      <c r="M25" s="109"/>
      <c r="N25" s="109"/>
      <c r="O25" s="109"/>
      <c r="P25" s="109"/>
      <c r="Q25" s="109"/>
      <c r="R25" s="109"/>
      <c r="S25" s="109"/>
      <c r="T25" s="109"/>
      <c r="U25" s="109"/>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row>
    <row r="26" spans="1:69" s="101" customFormat="1" ht="15" customHeight="1">
      <c r="A26" s="103" t="s">
        <v>126</v>
      </c>
      <c r="B26" s="104" t="s">
        <v>24</v>
      </c>
      <c r="C26" s="105"/>
      <c r="D26" s="105"/>
      <c r="E26" s="105"/>
      <c r="F26" s="106"/>
      <c r="G26" s="105"/>
      <c r="H26" s="105"/>
      <c r="I26" s="105"/>
      <c r="J26" s="105"/>
      <c r="K26" s="105"/>
      <c r="L26" s="109"/>
      <c r="M26" s="109"/>
      <c r="N26" s="109"/>
      <c r="O26" s="109"/>
      <c r="P26" s="109"/>
      <c r="Q26" s="109"/>
      <c r="R26" s="109"/>
      <c r="S26" s="109"/>
      <c r="T26" s="109"/>
      <c r="U26" s="109"/>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row>
    <row r="27" spans="1:69" s="101" customFormat="1" ht="15" customHeight="1">
      <c r="A27" s="103" t="s">
        <v>25</v>
      </c>
      <c r="B27" s="108">
        <v>2859.5</v>
      </c>
      <c r="C27" s="108">
        <v>330.4</v>
      </c>
      <c r="D27" s="108">
        <v>2021.3</v>
      </c>
      <c r="E27" s="108">
        <v>881.3</v>
      </c>
      <c r="F27" s="108">
        <v>588.9</v>
      </c>
      <c r="G27" s="108">
        <v>445.2</v>
      </c>
      <c r="H27" s="108">
        <v>105.9</v>
      </c>
      <c r="I27" s="108">
        <v>263.2</v>
      </c>
      <c r="J27" s="108">
        <v>81.5</v>
      </c>
      <c r="K27" s="108">
        <v>163.1</v>
      </c>
      <c r="L27" s="109"/>
      <c r="M27" s="109"/>
      <c r="N27" s="109"/>
      <c r="O27" s="109"/>
      <c r="P27" s="109"/>
      <c r="Q27" s="109"/>
      <c r="R27" s="109"/>
      <c r="S27" s="109"/>
      <c r="T27" s="109"/>
      <c r="U27" s="109"/>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row>
    <row r="28" spans="1:69" s="101" customFormat="1" ht="15" customHeight="1">
      <c r="A28" s="111" t="s">
        <v>106</v>
      </c>
      <c r="B28" s="112">
        <v>2696.4</v>
      </c>
      <c r="C28" s="112">
        <v>330.4</v>
      </c>
      <c r="D28" s="112">
        <v>2021.3</v>
      </c>
      <c r="E28" s="112">
        <v>881.3</v>
      </c>
      <c r="F28" s="112">
        <v>588.9</v>
      </c>
      <c r="G28" s="112">
        <v>445.2</v>
      </c>
      <c r="H28" s="112">
        <v>105.9</v>
      </c>
      <c r="I28" s="112">
        <v>263.2</v>
      </c>
      <c r="J28" s="112">
        <v>81.5</v>
      </c>
      <c r="K28" s="112">
        <v>0</v>
      </c>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row>
    <row r="29" spans="1:69" s="101" customFormat="1" ht="15" customHeight="1">
      <c r="A29" s="113" t="s">
        <v>107</v>
      </c>
      <c r="B29" s="112">
        <v>2409.1</v>
      </c>
      <c r="C29" s="112">
        <v>330.4</v>
      </c>
      <c r="D29" s="112">
        <v>1841.8436551</v>
      </c>
      <c r="E29" s="112">
        <v>781.54102637999995</v>
      </c>
      <c r="F29" s="112">
        <v>553.6</v>
      </c>
      <c r="G29" s="112">
        <v>405.9</v>
      </c>
      <c r="H29" s="112">
        <v>100.8</v>
      </c>
      <c r="I29" s="112">
        <v>236.8</v>
      </c>
      <c r="J29" s="112">
        <v>0</v>
      </c>
      <c r="K29" s="112">
        <v>0</v>
      </c>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row>
    <row r="30" spans="1:69" s="101" customFormat="1" ht="15" customHeight="1">
      <c r="A30" s="113" t="s">
        <v>108</v>
      </c>
      <c r="B30" s="112">
        <v>906.8</v>
      </c>
      <c r="C30" s="112">
        <v>32.6</v>
      </c>
      <c r="D30" s="112">
        <v>776.9</v>
      </c>
      <c r="E30" s="112">
        <v>316.8</v>
      </c>
      <c r="F30" s="112">
        <v>246.3</v>
      </c>
      <c r="G30" s="112">
        <v>157</v>
      </c>
      <c r="H30" s="112">
        <v>56.8</v>
      </c>
      <c r="I30" s="112">
        <v>97.3</v>
      </c>
      <c r="J30" s="112">
        <v>0</v>
      </c>
      <c r="K30" s="112">
        <v>0</v>
      </c>
      <c r="L30" s="109"/>
      <c r="M30" s="109"/>
      <c r="N30" s="109"/>
      <c r="O30" s="109"/>
      <c r="P30" s="109"/>
      <c r="Q30" s="109"/>
      <c r="R30" s="109"/>
      <c r="S30" s="109"/>
      <c r="T30" s="109"/>
      <c r="U30" s="109"/>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row>
    <row r="31" spans="1:69" s="101" customFormat="1" ht="15" customHeight="1">
      <c r="A31" s="113" t="s">
        <v>109</v>
      </c>
      <c r="B31" s="112">
        <v>757.3</v>
      </c>
      <c r="C31" s="112">
        <v>117.5</v>
      </c>
      <c r="D31" s="112">
        <v>561.29999999999995</v>
      </c>
      <c r="E31" s="112">
        <v>314</v>
      </c>
      <c r="F31" s="112">
        <v>153.6</v>
      </c>
      <c r="G31" s="112">
        <v>65.8</v>
      </c>
      <c r="H31" s="112">
        <v>27.9</v>
      </c>
      <c r="I31" s="112">
        <v>78.5</v>
      </c>
      <c r="J31" s="112">
        <v>0</v>
      </c>
      <c r="K31" s="112">
        <v>0</v>
      </c>
      <c r="L31" s="109"/>
      <c r="M31" s="109"/>
      <c r="N31" s="109"/>
      <c r="O31" s="109"/>
      <c r="P31" s="109"/>
      <c r="Q31" s="109"/>
      <c r="R31" s="109"/>
      <c r="S31" s="109"/>
      <c r="T31" s="109"/>
      <c r="U31" s="109"/>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row>
    <row r="32" spans="1:69" s="101" customFormat="1" ht="15" customHeight="1">
      <c r="A32" s="113" t="s">
        <v>110</v>
      </c>
      <c r="B32" s="112">
        <v>567.9</v>
      </c>
      <c r="C32" s="112">
        <v>51.5</v>
      </c>
      <c r="D32" s="112">
        <v>449.9</v>
      </c>
      <c r="E32" s="112">
        <v>237.9</v>
      </c>
      <c r="F32" s="112">
        <v>135.69999999999999</v>
      </c>
      <c r="G32" s="112">
        <v>51.9</v>
      </c>
      <c r="H32" s="112">
        <v>24.5</v>
      </c>
      <c r="I32" s="112">
        <v>66.5</v>
      </c>
      <c r="J32" s="112">
        <v>0</v>
      </c>
      <c r="K32" s="112">
        <v>0</v>
      </c>
      <c r="L32" s="109"/>
      <c r="M32" s="109"/>
      <c r="N32" s="109"/>
      <c r="O32" s="109"/>
      <c r="P32" s="109"/>
      <c r="Q32" s="109"/>
      <c r="R32" s="109"/>
      <c r="S32" s="109"/>
      <c r="T32" s="109"/>
      <c r="U32" s="109"/>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row>
    <row r="33" spans="1:69" s="101" customFormat="1" ht="15" customHeight="1">
      <c r="A33" s="113" t="s">
        <v>111</v>
      </c>
      <c r="B33" s="112">
        <v>78</v>
      </c>
      <c r="C33" s="112">
        <v>19.2</v>
      </c>
      <c r="D33" s="112">
        <v>48.4</v>
      </c>
      <c r="E33" s="112">
        <v>25.6</v>
      </c>
      <c r="F33" s="112">
        <v>17.5</v>
      </c>
      <c r="G33" s="112">
        <v>5.0999999999999996</v>
      </c>
      <c r="H33" s="112">
        <v>0.3</v>
      </c>
      <c r="I33" s="112">
        <v>10.5</v>
      </c>
      <c r="J33" s="112">
        <v>0</v>
      </c>
      <c r="K33" s="112">
        <v>0</v>
      </c>
      <c r="L33" s="109"/>
      <c r="M33" s="109"/>
      <c r="N33" s="109"/>
      <c r="O33" s="109"/>
      <c r="P33" s="109"/>
      <c r="Q33" s="109"/>
      <c r="R33" s="109"/>
      <c r="S33" s="109"/>
      <c r="T33" s="109"/>
      <c r="U33" s="109"/>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row>
    <row r="34" spans="1:69" s="101" customFormat="1" ht="15" customHeight="1">
      <c r="A34" s="113" t="s">
        <v>112</v>
      </c>
      <c r="B34" s="112">
        <v>111.4</v>
      </c>
      <c r="C34" s="112">
        <v>46.9</v>
      </c>
      <c r="D34" s="112">
        <v>63</v>
      </c>
      <c r="E34" s="112">
        <v>50.5</v>
      </c>
      <c r="F34" s="112">
        <v>0.5</v>
      </c>
      <c r="G34" s="112">
        <v>8.9</v>
      </c>
      <c r="H34" s="112">
        <v>3.1</v>
      </c>
      <c r="I34" s="112">
        <v>1.5</v>
      </c>
      <c r="J34" s="112">
        <v>0</v>
      </c>
      <c r="K34" s="112">
        <v>0</v>
      </c>
      <c r="L34" s="109"/>
      <c r="M34" s="109"/>
      <c r="N34" s="109"/>
      <c r="O34" s="109"/>
      <c r="P34" s="109"/>
      <c r="Q34" s="109"/>
      <c r="R34" s="109"/>
      <c r="S34" s="109"/>
      <c r="T34" s="109"/>
      <c r="U34" s="109"/>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row>
    <row r="35" spans="1:69" s="101" customFormat="1" ht="15" customHeight="1">
      <c r="A35" s="113" t="s">
        <v>113</v>
      </c>
      <c r="B35" s="112">
        <v>144.69999999999999</v>
      </c>
      <c r="C35" s="112">
        <v>5.9</v>
      </c>
      <c r="D35" s="112">
        <v>97.2</v>
      </c>
      <c r="E35" s="112">
        <v>10</v>
      </c>
      <c r="F35" s="112">
        <v>5.0999999999999996</v>
      </c>
      <c r="G35" s="112">
        <v>80.2</v>
      </c>
      <c r="H35" s="112">
        <v>1.9</v>
      </c>
      <c r="I35" s="112">
        <v>41.6</v>
      </c>
      <c r="J35" s="112">
        <v>0</v>
      </c>
      <c r="K35" s="112">
        <v>0</v>
      </c>
      <c r="L35" s="109"/>
      <c r="M35" s="109"/>
      <c r="N35" s="109"/>
      <c r="O35" s="109"/>
      <c r="P35" s="109"/>
      <c r="Q35" s="109"/>
      <c r="R35" s="109"/>
      <c r="S35" s="109"/>
      <c r="T35" s="109"/>
      <c r="U35" s="109"/>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row>
    <row r="36" spans="1:69" s="101" customFormat="1" ht="15" customHeight="1">
      <c r="A36" s="113" t="s">
        <v>114</v>
      </c>
      <c r="B36" s="112">
        <v>80.900000000000006</v>
      </c>
      <c r="C36" s="112">
        <v>7.9</v>
      </c>
      <c r="D36" s="112">
        <v>70.400000000000006</v>
      </c>
      <c r="E36" s="112">
        <v>8.4</v>
      </c>
      <c r="F36" s="112">
        <v>33.700000000000003</v>
      </c>
      <c r="G36" s="112">
        <v>27.9</v>
      </c>
      <c r="H36" s="112">
        <v>0.4</v>
      </c>
      <c r="I36" s="112">
        <v>2.6</v>
      </c>
      <c r="J36" s="112">
        <v>0</v>
      </c>
      <c r="K36" s="112">
        <v>0</v>
      </c>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row>
    <row r="37" spans="1:69" s="101" customFormat="1" ht="15" customHeight="1">
      <c r="A37" s="113" t="s">
        <v>115</v>
      </c>
      <c r="B37" s="112">
        <v>148.6</v>
      </c>
      <c r="C37" s="112">
        <v>38.700000000000003</v>
      </c>
      <c r="D37" s="112">
        <v>98.7</v>
      </c>
      <c r="E37" s="112">
        <v>11.5</v>
      </c>
      <c r="F37" s="112">
        <v>34.6</v>
      </c>
      <c r="G37" s="112">
        <v>48.1</v>
      </c>
      <c r="H37" s="112">
        <v>4.5</v>
      </c>
      <c r="I37" s="112">
        <v>11.2</v>
      </c>
      <c r="J37" s="112">
        <v>0</v>
      </c>
      <c r="K37" s="112">
        <v>0</v>
      </c>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row>
    <row r="38" spans="1:69" s="101" customFormat="1" ht="15" customHeight="1">
      <c r="A38" s="113" t="s">
        <v>116</v>
      </c>
      <c r="B38" s="112">
        <v>370.7</v>
      </c>
      <c r="C38" s="112">
        <v>127.7</v>
      </c>
      <c r="D38" s="112">
        <v>237.4</v>
      </c>
      <c r="E38" s="112">
        <v>121</v>
      </c>
      <c r="F38" s="112">
        <v>80.3</v>
      </c>
      <c r="G38" s="112">
        <v>26.8</v>
      </c>
      <c r="H38" s="112">
        <v>9.3000000000000007</v>
      </c>
      <c r="I38" s="112">
        <v>5.7</v>
      </c>
      <c r="J38" s="112">
        <v>0</v>
      </c>
      <c r="K38" s="112">
        <v>0</v>
      </c>
      <c r="L38" s="109"/>
      <c r="M38" s="109"/>
      <c r="N38" s="109"/>
      <c r="O38" s="109"/>
      <c r="P38" s="109"/>
      <c r="Q38" s="109"/>
      <c r="R38" s="109"/>
      <c r="S38" s="109"/>
      <c r="T38" s="109"/>
      <c r="U38" s="109"/>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1:69" s="101" customFormat="1" ht="15" customHeight="1">
      <c r="A39" s="113" t="s">
        <v>117</v>
      </c>
      <c r="B39" s="112">
        <v>262.60000000000002</v>
      </c>
      <c r="C39" s="112">
        <v>45.4</v>
      </c>
      <c r="D39" s="112">
        <v>212.6</v>
      </c>
      <c r="E39" s="112">
        <v>112.5</v>
      </c>
      <c r="F39" s="112">
        <v>69.8</v>
      </c>
      <c r="G39" s="112">
        <v>21.1</v>
      </c>
      <c r="H39" s="112">
        <v>9.1999999999999993</v>
      </c>
      <c r="I39" s="112">
        <v>4.7</v>
      </c>
      <c r="J39" s="112">
        <v>0</v>
      </c>
      <c r="K39" s="112">
        <v>0</v>
      </c>
      <c r="L39" s="109"/>
      <c r="M39" s="109"/>
      <c r="N39" s="109"/>
      <c r="O39" s="109"/>
      <c r="P39" s="109"/>
      <c r="Q39" s="109"/>
      <c r="R39" s="109"/>
      <c r="S39" s="109"/>
      <c r="T39" s="109"/>
      <c r="U39" s="109"/>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row>
    <row r="40" spans="1:69" s="101" customFormat="1" ht="15" customHeight="1">
      <c r="A40" s="113" t="s">
        <v>118</v>
      </c>
      <c r="B40" s="112">
        <v>44.9</v>
      </c>
      <c r="C40" s="112">
        <v>21.9</v>
      </c>
      <c r="D40" s="112">
        <v>22</v>
      </c>
      <c r="E40" s="112">
        <v>8.4</v>
      </c>
      <c r="F40" s="112">
        <v>7.8</v>
      </c>
      <c r="G40" s="112">
        <v>5.7</v>
      </c>
      <c r="H40" s="112">
        <v>0.1</v>
      </c>
      <c r="I40" s="112">
        <v>1</v>
      </c>
      <c r="J40" s="112">
        <v>0</v>
      </c>
      <c r="K40" s="112">
        <v>0</v>
      </c>
      <c r="L40" s="109"/>
      <c r="M40" s="109"/>
      <c r="N40" s="109"/>
      <c r="O40" s="109"/>
      <c r="P40" s="109"/>
      <c r="Q40" s="109"/>
      <c r="R40" s="109"/>
      <c r="S40" s="109"/>
      <c r="T40" s="109"/>
      <c r="U40" s="109"/>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row>
    <row r="41" spans="1:69" s="101" customFormat="1" ht="15" customHeight="1">
      <c r="A41" s="113" t="s">
        <v>119</v>
      </c>
      <c r="B41" s="112">
        <v>63.2</v>
      </c>
      <c r="C41" s="112">
        <v>60.5</v>
      </c>
      <c r="D41" s="112">
        <v>2.7</v>
      </c>
      <c r="E41" s="112">
        <v>0</v>
      </c>
      <c r="F41" s="112">
        <v>2.7</v>
      </c>
      <c r="G41" s="112">
        <v>0</v>
      </c>
      <c r="H41" s="112">
        <v>0</v>
      </c>
      <c r="I41" s="114">
        <v>0</v>
      </c>
      <c r="J41" s="112">
        <v>0</v>
      </c>
      <c r="K41" s="112">
        <v>0</v>
      </c>
      <c r="L41" s="109"/>
      <c r="M41" s="109"/>
      <c r="N41" s="109"/>
      <c r="O41" s="109"/>
      <c r="P41" s="109"/>
      <c r="Q41" s="109"/>
      <c r="R41" s="109"/>
      <c r="S41" s="109"/>
      <c r="T41" s="109"/>
      <c r="U41" s="109"/>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row>
    <row r="42" spans="1:69" s="101" customFormat="1" ht="15" customHeight="1">
      <c r="A42" s="113" t="s">
        <v>120</v>
      </c>
      <c r="B42" s="112">
        <v>37.5</v>
      </c>
      <c r="C42" s="112">
        <v>0</v>
      </c>
      <c r="D42" s="112">
        <v>33</v>
      </c>
      <c r="E42" s="112">
        <v>0</v>
      </c>
      <c r="F42" s="112">
        <v>8.6</v>
      </c>
      <c r="G42" s="112">
        <v>20.3</v>
      </c>
      <c r="H42" s="112">
        <v>3.7</v>
      </c>
      <c r="I42" s="112">
        <v>4.5</v>
      </c>
      <c r="J42" s="112">
        <v>0</v>
      </c>
      <c r="K42" s="112">
        <v>0</v>
      </c>
      <c r="L42" s="109"/>
      <c r="M42" s="109"/>
      <c r="N42" s="109"/>
      <c r="O42" s="109"/>
      <c r="P42" s="109"/>
      <c r="Q42" s="109"/>
      <c r="R42" s="109"/>
      <c r="S42" s="109"/>
      <c r="T42" s="109"/>
      <c r="U42" s="109"/>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row>
    <row r="43" spans="1:69" s="101" customFormat="1" ht="15" customHeight="1">
      <c r="A43" s="113" t="s">
        <v>121</v>
      </c>
      <c r="B43" s="112">
        <v>168.3</v>
      </c>
      <c r="C43" s="112">
        <v>0</v>
      </c>
      <c r="D43" s="112">
        <v>146.5</v>
      </c>
      <c r="E43" s="112">
        <v>99.8</v>
      </c>
      <c r="F43" s="112">
        <v>26.7</v>
      </c>
      <c r="G43" s="112">
        <v>19</v>
      </c>
      <c r="H43" s="112">
        <v>1</v>
      </c>
      <c r="I43" s="112">
        <v>21.8</v>
      </c>
      <c r="J43" s="112">
        <v>0</v>
      </c>
      <c r="K43" s="112">
        <v>0</v>
      </c>
      <c r="L43" s="109"/>
      <c r="M43" s="109"/>
      <c r="N43" s="109"/>
      <c r="O43" s="109"/>
      <c r="P43" s="109"/>
      <c r="Q43" s="109"/>
      <c r="R43" s="109"/>
      <c r="S43" s="109"/>
      <c r="T43" s="109"/>
      <c r="U43" s="109"/>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1:69" s="101" customFormat="1" ht="15" customHeight="1">
      <c r="A44" s="113" t="s">
        <v>122</v>
      </c>
      <c r="B44" s="112">
        <v>81.5</v>
      </c>
      <c r="C44" s="112">
        <v>0</v>
      </c>
      <c r="D44" s="112">
        <v>0</v>
      </c>
      <c r="E44" s="112">
        <v>0</v>
      </c>
      <c r="F44" s="112">
        <v>0</v>
      </c>
      <c r="G44" s="112">
        <v>0</v>
      </c>
      <c r="H44" s="112">
        <v>0</v>
      </c>
      <c r="I44" s="112">
        <v>0</v>
      </c>
      <c r="J44" s="112">
        <v>81.5</v>
      </c>
      <c r="K44" s="112">
        <v>0</v>
      </c>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row>
    <row r="45" spans="1:69" s="101" customFormat="1" ht="15" customHeight="1">
      <c r="A45" s="111" t="s">
        <v>123</v>
      </c>
      <c r="B45" s="112">
        <v>163.1</v>
      </c>
      <c r="C45" s="112">
        <v>0</v>
      </c>
      <c r="D45" s="112">
        <v>0</v>
      </c>
      <c r="E45" s="112">
        <v>0</v>
      </c>
      <c r="F45" s="112">
        <v>0</v>
      </c>
      <c r="G45" s="112">
        <v>0</v>
      </c>
      <c r="H45" s="112">
        <v>0</v>
      </c>
      <c r="I45" s="112">
        <v>0</v>
      </c>
      <c r="J45" s="112">
        <v>0</v>
      </c>
      <c r="K45" s="112">
        <v>163.1</v>
      </c>
      <c r="L45" s="109"/>
      <c r="M45" s="109"/>
      <c r="N45" s="109"/>
      <c r="O45" s="109"/>
      <c r="P45" s="109"/>
      <c r="Q45" s="109"/>
      <c r="R45" s="109"/>
      <c r="S45" s="109"/>
      <c r="T45" s="109"/>
      <c r="U45" s="109"/>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row>
    <row r="46" spans="1:69" s="101" customFormat="1" ht="15" customHeight="1">
      <c r="A46" s="113" t="s">
        <v>124</v>
      </c>
      <c r="B46" s="112">
        <v>46.7</v>
      </c>
      <c r="C46" s="112">
        <v>0</v>
      </c>
      <c r="D46" s="112">
        <v>0</v>
      </c>
      <c r="E46" s="112">
        <v>0</v>
      </c>
      <c r="F46" s="112">
        <v>0</v>
      </c>
      <c r="G46" s="112">
        <v>0</v>
      </c>
      <c r="H46" s="112">
        <v>0</v>
      </c>
      <c r="I46" s="112">
        <v>0</v>
      </c>
      <c r="J46" s="112">
        <v>0</v>
      </c>
      <c r="K46" s="112">
        <v>46.7</v>
      </c>
      <c r="L46" s="109"/>
      <c r="M46" s="109"/>
      <c r="N46" s="109"/>
      <c r="O46" s="109"/>
      <c r="P46" s="109"/>
      <c r="Q46" s="109"/>
      <c r="R46" s="109"/>
      <c r="S46" s="109"/>
      <c r="T46" s="109"/>
      <c r="U46" s="109"/>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row>
    <row r="47" spans="1:69" s="101" customFormat="1" ht="15" customHeight="1" thickBot="1">
      <c r="A47" s="115" t="s">
        <v>125</v>
      </c>
      <c r="B47" s="116">
        <v>116.4</v>
      </c>
      <c r="C47" s="116">
        <v>0</v>
      </c>
      <c r="D47" s="116">
        <v>0</v>
      </c>
      <c r="E47" s="116">
        <v>0</v>
      </c>
      <c r="F47" s="116">
        <v>0</v>
      </c>
      <c r="G47" s="116">
        <v>0</v>
      </c>
      <c r="H47" s="116">
        <v>0</v>
      </c>
      <c r="I47" s="116">
        <v>0</v>
      </c>
      <c r="J47" s="116">
        <v>0</v>
      </c>
      <c r="K47" s="116">
        <v>116.4</v>
      </c>
      <c r="L47" s="109"/>
      <c r="M47" s="109"/>
      <c r="N47" s="109"/>
      <c r="O47" s="109"/>
      <c r="P47" s="109"/>
      <c r="Q47" s="109"/>
      <c r="R47" s="109"/>
      <c r="S47" s="109"/>
      <c r="T47" s="109"/>
      <c r="U47" s="109"/>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row>
    <row r="48" spans="1:69" ht="30.65" customHeight="1" thickBot="1">
      <c r="A48" s="89" t="s">
        <v>127</v>
      </c>
      <c r="B48" s="89"/>
      <c r="C48" s="89"/>
      <c r="D48" s="89"/>
      <c r="E48" s="89"/>
      <c r="F48" s="89"/>
      <c r="G48" s="89"/>
      <c r="H48" s="89"/>
      <c r="I48" s="89"/>
      <c r="J48" s="89"/>
      <c r="K48" s="89"/>
    </row>
    <row r="49" spans="1:69" s="101" customFormat="1" ht="12" customHeight="1" thickBot="1">
      <c r="A49" s="93" t="s">
        <v>47</v>
      </c>
      <c r="B49" s="93" t="s">
        <v>47</v>
      </c>
      <c r="C49" s="93" t="s">
        <v>47</v>
      </c>
      <c r="D49" s="117" t="s">
        <v>96</v>
      </c>
      <c r="E49" s="118"/>
      <c r="F49" s="119"/>
      <c r="G49" s="120"/>
      <c r="H49" s="119"/>
      <c r="I49" s="98"/>
      <c r="J49" s="98"/>
      <c r="K49" s="98"/>
    </row>
    <row r="50" spans="1:69" s="101" customFormat="1" ht="36.75" customHeight="1" thickBot="1">
      <c r="A50" s="99" t="s">
        <v>97</v>
      </c>
      <c r="B50" s="99" t="s">
        <v>98</v>
      </c>
      <c r="C50" s="99" t="s">
        <v>99</v>
      </c>
      <c r="D50" s="99" t="s">
        <v>96</v>
      </c>
      <c r="E50" s="100" t="s">
        <v>100</v>
      </c>
      <c r="F50" s="99" t="s">
        <v>101</v>
      </c>
      <c r="G50" s="99" t="s">
        <v>102</v>
      </c>
      <c r="H50" s="99" t="s">
        <v>103</v>
      </c>
      <c r="I50" s="99" t="s">
        <v>104</v>
      </c>
      <c r="J50" s="99" t="s">
        <v>13</v>
      </c>
      <c r="K50" s="99" t="s">
        <v>71</v>
      </c>
      <c r="V50" s="102"/>
    </row>
    <row r="51" spans="1:69" s="101" customFormat="1" ht="15" customHeight="1">
      <c r="A51" s="103" t="s">
        <v>128</v>
      </c>
      <c r="B51" s="104" t="s">
        <v>24</v>
      </c>
      <c r="C51" s="105"/>
      <c r="D51" s="105"/>
      <c r="E51" s="105"/>
      <c r="F51" s="106"/>
      <c r="G51" s="105"/>
      <c r="H51" s="105"/>
      <c r="I51" s="105"/>
      <c r="J51" s="105"/>
      <c r="K51" s="105"/>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row>
    <row r="52" spans="1:69" s="101" customFormat="1" ht="15" customHeight="1">
      <c r="A52" s="103" t="s">
        <v>25</v>
      </c>
      <c r="B52" s="108">
        <v>3008.3</v>
      </c>
      <c r="C52" s="108">
        <v>339.9</v>
      </c>
      <c r="D52" s="108">
        <v>2155.1999999999998</v>
      </c>
      <c r="E52" s="108">
        <v>926.9</v>
      </c>
      <c r="F52" s="108">
        <v>617.6</v>
      </c>
      <c r="G52" s="108">
        <v>498.2</v>
      </c>
      <c r="H52" s="108">
        <v>112.6</v>
      </c>
      <c r="I52" s="108">
        <v>269.3</v>
      </c>
      <c r="J52" s="108">
        <v>84.4</v>
      </c>
      <c r="K52" s="108">
        <v>159.6</v>
      </c>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row>
    <row r="53" spans="1:69" s="101" customFormat="1" ht="15" customHeight="1">
      <c r="A53" s="111" t="s">
        <v>106</v>
      </c>
      <c r="B53" s="112">
        <v>2848.7</v>
      </c>
      <c r="C53" s="112">
        <v>339.9</v>
      </c>
      <c r="D53" s="112">
        <v>2155.1999999999998</v>
      </c>
      <c r="E53" s="112">
        <v>926.9</v>
      </c>
      <c r="F53" s="112">
        <v>617.6</v>
      </c>
      <c r="G53" s="112">
        <v>498.2</v>
      </c>
      <c r="H53" s="112">
        <v>112.6</v>
      </c>
      <c r="I53" s="112">
        <v>269.3</v>
      </c>
      <c r="J53" s="112">
        <v>84.4</v>
      </c>
      <c r="K53" s="112">
        <v>0</v>
      </c>
      <c r="L53" s="109"/>
      <c r="M53" s="109"/>
      <c r="N53" s="109"/>
      <c r="O53" s="109"/>
      <c r="P53" s="109"/>
      <c r="Q53" s="109"/>
      <c r="R53" s="109"/>
      <c r="S53" s="109"/>
      <c r="T53" s="109"/>
      <c r="U53" s="109"/>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row>
    <row r="54" spans="1:69" s="101" customFormat="1" ht="15" customHeight="1">
      <c r="A54" s="113" t="s">
        <v>107</v>
      </c>
      <c r="B54" s="112">
        <v>2533.6</v>
      </c>
      <c r="C54" s="112">
        <v>339.9</v>
      </c>
      <c r="D54" s="112">
        <v>1952.4067686000001</v>
      </c>
      <c r="E54" s="112">
        <v>818.89200722999999</v>
      </c>
      <c r="F54" s="112">
        <v>579.5</v>
      </c>
      <c r="G54" s="112">
        <v>446.9</v>
      </c>
      <c r="H54" s="112">
        <v>107.1</v>
      </c>
      <c r="I54" s="112">
        <v>241.3</v>
      </c>
      <c r="J54" s="112">
        <v>0</v>
      </c>
      <c r="K54" s="112">
        <v>0</v>
      </c>
      <c r="L54" s="109"/>
      <c r="M54" s="109"/>
      <c r="N54" s="109"/>
      <c r="O54" s="109"/>
      <c r="P54" s="109"/>
      <c r="Q54" s="109"/>
      <c r="R54" s="109"/>
      <c r="S54" s="109"/>
      <c r="T54" s="109"/>
      <c r="U54" s="109"/>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row>
    <row r="55" spans="1:69" s="101" customFormat="1" ht="15" customHeight="1">
      <c r="A55" s="113" t="s">
        <v>108</v>
      </c>
      <c r="B55" s="112">
        <v>940.5</v>
      </c>
      <c r="C55" s="112">
        <v>31.3</v>
      </c>
      <c r="D55" s="112">
        <v>812.1</v>
      </c>
      <c r="E55" s="112">
        <v>326.2</v>
      </c>
      <c r="F55" s="112">
        <v>253.5</v>
      </c>
      <c r="G55" s="112">
        <v>171.7</v>
      </c>
      <c r="H55" s="112">
        <v>60.7</v>
      </c>
      <c r="I55" s="112">
        <v>97.2</v>
      </c>
      <c r="J55" s="112">
        <v>0</v>
      </c>
      <c r="K55" s="112">
        <v>0</v>
      </c>
      <c r="L55" s="109"/>
      <c r="M55" s="109"/>
      <c r="N55" s="109"/>
      <c r="O55" s="109"/>
      <c r="P55" s="109"/>
      <c r="Q55" s="109"/>
      <c r="R55" s="109"/>
      <c r="S55" s="109"/>
      <c r="T55" s="109"/>
      <c r="U55" s="109"/>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row>
    <row r="56" spans="1:69" s="101" customFormat="1" ht="15" customHeight="1">
      <c r="A56" s="113" t="s">
        <v>109</v>
      </c>
      <c r="B56" s="112">
        <v>793.8</v>
      </c>
      <c r="C56" s="112">
        <v>119.6</v>
      </c>
      <c r="D56" s="112">
        <v>593.79999999999995</v>
      </c>
      <c r="E56" s="112">
        <v>323</v>
      </c>
      <c r="F56" s="112">
        <v>161.5</v>
      </c>
      <c r="G56" s="112">
        <v>80.400000000000006</v>
      </c>
      <c r="H56" s="112">
        <v>28.9</v>
      </c>
      <c r="I56" s="112">
        <v>80.400000000000006</v>
      </c>
      <c r="J56" s="112">
        <v>0</v>
      </c>
      <c r="K56" s="112">
        <v>0</v>
      </c>
      <c r="L56" s="109"/>
      <c r="M56" s="109"/>
      <c r="N56" s="109"/>
      <c r="O56" s="109"/>
      <c r="P56" s="109"/>
      <c r="Q56" s="109"/>
      <c r="R56" s="109"/>
      <c r="S56" s="109"/>
      <c r="T56" s="109"/>
      <c r="U56" s="109"/>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row>
    <row r="57" spans="1:69" s="101" customFormat="1" ht="15" customHeight="1">
      <c r="A57" s="113" t="s">
        <v>110</v>
      </c>
      <c r="B57" s="112">
        <v>596.70000000000005</v>
      </c>
      <c r="C57" s="112">
        <v>52.2</v>
      </c>
      <c r="D57" s="112">
        <v>476.5</v>
      </c>
      <c r="E57" s="112">
        <v>244.2</v>
      </c>
      <c r="F57" s="112">
        <v>142.30000000000001</v>
      </c>
      <c r="G57" s="112">
        <v>64.400000000000006</v>
      </c>
      <c r="H57" s="112">
        <v>25.4</v>
      </c>
      <c r="I57" s="112">
        <v>68.099999999999994</v>
      </c>
      <c r="J57" s="112">
        <v>0</v>
      </c>
      <c r="K57" s="112">
        <v>0</v>
      </c>
      <c r="L57" s="109"/>
      <c r="M57" s="109"/>
      <c r="N57" s="109"/>
      <c r="O57" s="109"/>
      <c r="P57" s="109"/>
      <c r="Q57" s="109"/>
      <c r="R57" s="109"/>
      <c r="S57" s="109"/>
      <c r="T57" s="109"/>
      <c r="U57" s="109"/>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row>
    <row r="58" spans="1:69" s="101" customFormat="1" ht="15" customHeight="1">
      <c r="A58" s="113" t="s">
        <v>111</v>
      </c>
      <c r="B58" s="112">
        <v>82.4</v>
      </c>
      <c r="C58" s="112">
        <v>20.3</v>
      </c>
      <c r="D58" s="112">
        <v>51.2</v>
      </c>
      <c r="E58" s="112">
        <v>26.3</v>
      </c>
      <c r="F58" s="112">
        <v>18.7</v>
      </c>
      <c r="G58" s="112">
        <v>6</v>
      </c>
      <c r="H58" s="112">
        <v>0.3</v>
      </c>
      <c r="I58" s="112">
        <v>10.8</v>
      </c>
      <c r="J58" s="112">
        <v>0</v>
      </c>
      <c r="K58" s="112">
        <v>0</v>
      </c>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row>
    <row r="59" spans="1:69" s="101" customFormat="1" ht="15" customHeight="1">
      <c r="A59" s="113" t="s">
        <v>112</v>
      </c>
      <c r="B59" s="112">
        <v>114.7</v>
      </c>
      <c r="C59" s="112">
        <v>47.1</v>
      </c>
      <c r="D59" s="112">
        <v>66.099999999999994</v>
      </c>
      <c r="E59" s="112">
        <v>52.4</v>
      </c>
      <c r="F59" s="112">
        <v>0.4</v>
      </c>
      <c r="G59" s="112">
        <v>10</v>
      </c>
      <c r="H59" s="112">
        <v>3.2</v>
      </c>
      <c r="I59" s="112">
        <v>1.5</v>
      </c>
      <c r="J59" s="112">
        <v>0</v>
      </c>
      <c r="K59" s="112">
        <v>0</v>
      </c>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row>
    <row r="60" spans="1:69" s="101" customFormat="1" ht="15" customHeight="1">
      <c r="A60" s="113" t="s">
        <v>113</v>
      </c>
      <c r="B60" s="112">
        <v>152.5</v>
      </c>
      <c r="C60" s="112">
        <v>6</v>
      </c>
      <c r="D60" s="112">
        <v>102.6</v>
      </c>
      <c r="E60" s="112">
        <v>10.7</v>
      </c>
      <c r="F60" s="112">
        <v>5.2</v>
      </c>
      <c r="G60" s="112">
        <v>84.8</v>
      </c>
      <c r="H60" s="112">
        <v>1.9</v>
      </c>
      <c r="I60" s="112">
        <v>44</v>
      </c>
      <c r="J60" s="112">
        <v>0</v>
      </c>
      <c r="K60" s="112">
        <v>0</v>
      </c>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row>
    <row r="61" spans="1:69" s="101" customFormat="1" ht="15" customHeight="1">
      <c r="A61" s="113" t="s">
        <v>114</v>
      </c>
      <c r="B61" s="112">
        <v>84.4</v>
      </c>
      <c r="C61" s="112">
        <v>8.4</v>
      </c>
      <c r="D61" s="112">
        <v>73.5</v>
      </c>
      <c r="E61" s="112">
        <v>9.6</v>
      </c>
      <c r="F61" s="112">
        <v>34.299999999999997</v>
      </c>
      <c r="G61" s="112">
        <v>29.1</v>
      </c>
      <c r="H61" s="112">
        <v>0.5</v>
      </c>
      <c r="I61" s="112">
        <v>2.5</v>
      </c>
      <c r="J61" s="112">
        <v>0</v>
      </c>
      <c r="K61" s="112">
        <v>0</v>
      </c>
      <c r="L61" s="109"/>
      <c r="M61" s="109"/>
      <c r="N61" s="109"/>
      <c r="O61" s="109"/>
      <c r="P61" s="109"/>
      <c r="Q61" s="109"/>
      <c r="R61" s="109"/>
      <c r="S61" s="109"/>
      <c r="T61" s="109"/>
      <c r="U61" s="109"/>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row>
    <row r="62" spans="1:69" s="101" customFormat="1" ht="15" customHeight="1">
      <c r="A62" s="113" t="s">
        <v>115</v>
      </c>
      <c r="B62" s="112">
        <v>152.19999999999999</v>
      </c>
      <c r="C62" s="112">
        <v>39.1</v>
      </c>
      <c r="D62" s="112">
        <v>101.4</v>
      </c>
      <c r="E62" s="112">
        <v>12</v>
      </c>
      <c r="F62" s="112">
        <v>35.5</v>
      </c>
      <c r="G62" s="112">
        <v>49.2</v>
      </c>
      <c r="H62" s="112">
        <v>4.7</v>
      </c>
      <c r="I62" s="112">
        <v>11.7</v>
      </c>
      <c r="J62" s="112">
        <v>0</v>
      </c>
      <c r="K62" s="112">
        <v>0</v>
      </c>
      <c r="L62" s="109"/>
      <c r="M62" s="109"/>
      <c r="N62" s="109"/>
      <c r="O62" s="109"/>
      <c r="P62" s="109"/>
      <c r="Q62" s="109"/>
      <c r="R62" s="109"/>
      <c r="S62" s="109"/>
      <c r="T62" s="109"/>
      <c r="U62" s="109"/>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row>
    <row r="63" spans="1:69" s="101" customFormat="1" ht="15" customHeight="1">
      <c r="A63" s="113" t="s">
        <v>116</v>
      </c>
      <c r="B63" s="112">
        <v>410.1</v>
      </c>
      <c r="C63" s="112">
        <v>135.5</v>
      </c>
      <c r="D63" s="112">
        <v>269</v>
      </c>
      <c r="E63" s="112">
        <v>137.4</v>
      </c>
      <c r="F63" s="112">
        <v>89.5</v>
      </c>
      <c r="G63" s="112">
        <v>31.8</v>
      </c>
      <c r="H63" s="112">
        <v>10.3</v>
      </c>
      <c r="I63" s="112">
        <v>5.6</v>
      </c>
      <c r="J63" s="112">
        <v>0</v>
      </c>
      <c r="K63" s="112">
        <v>0</v>
      </c>
      <c r="L63" s="109"/>
      <c r="M63" s="109"/>
      <c r="N63" s="109"/>
      <c r="O63" s="109"/>
      <c r="P63" s="109"/>
      <c r="Q63" s="109"/>
      <c r="R63" s="109"/>
      <c r="S63" s="109"/>
      <c r="T63" s="109"/>
      <c r="U63" s="109"/>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row>
    <row r="64" spans="1:69" s="101" customFormat="1" ht="15" customHeight="1">
      <c r="A64" s="113" t="s">
        <v>117</v>
      </c>
      <c r="B64" s="112">
        <v>298</v>
      </c>
      <c r="C64" s="112">
        <v>50.1</v>
      </c>
      <c r="D64" s="112">
        <v>243.5</v>
      </c>
      <c r="E64" s="112">
        <v>128.5</v>
      </c>
      <c r="F64" s="112">
        <v>79.5</v>
      </c>
      <c r="G64" s="112">
        <v>25.3</v>
      </c>
      <c r="H64" s="112">
        <v>10.199999999999999</v>
      </c>
      <c r="I64" s="112">
        <v>4.5</v>
      </c>
      <c r="J64" s="112">
        <v>0</v>
      </c>
      <c r="K64" s="112">
        <v>0</v>
      </c>
      <c r="L64" s="109"/>
      <c r="M64" s="109"/>
      <c r="N64" s="109"/>
      <c r="O64" s="109"/>
      <c r="P64" s="109"/>
      <c r="Q64" s="109"/>
      <c r="R64" s="109"/>
      <c r="S64" s="109"/>
      <c r="T64" s="109"/>
      <c r="U64" s="109"/>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row>
    <row r="65" spans="1:69" s="101" customFormat="1" ht="15" customHeight="1">
      <c r="A65" s="113" t="s">
        <v>118</v>
      </c>
      <c r="B65" s="112">
        <v>46.6</v>
      </c>
      <c r="C65" s="112">
        <v>22.2</v>
      </c>
      <c r="D65" s="112">
        <v>23.3</v>
      </c>
      <c r="E65" s="112">
        <v>8.8000000000000007</v>
      </c>
      <c r="F65" s="112">
        <v>7.8</v>
      </c>
      <c r="G65" s="112">
        <v>6.5</v>
      </c>
      <c r="H65" s="112">
        <v>0.1</v>
      </c>
      <c r="I65" s="112">
        <v>1.1000000000000001</v>
      </c>
      <c r="J65" s="112">
        <v>0</v>
      </c>
      <c r="K65" s="112">
        <v>0</v>
      </c>
      <c r="L65" s="109"/>
      <c r="M65" s="109"/>
      <c r="N65" s="109"/>
      <c r="O65" s="109"/>
      <c r="P65" s="109"/>
      <c r="Q65" s="109"/>
      <c r="R65" s="109"/>
      <c r="S65" s="109"/>
      <c r="T65" s="109"/>
      <c r="U65" s="109"/>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row>
    <row r="66" spans="1:69" s="101" customFormat="1" ht="15" customHeight="1">
      <c r="A66" s="113" t="s">
        <v>119</v>
      </c>
      <c r="B66" s="112">
        <v>65.5</v>
      </c>
      <c r="C66" s="112">
        <v>63.2</v>
      </c>
      <c r="D66" s="112">
        <v>2.2999999999999998</v>
      </c>
      <c r="E66" s="112">
        <v>0</v>
      </c>
      <c r="F66" s="112">
        <v>2.2999999999999998</v>
      </c>
      <c r="G66" s="112">
        <v>0</v>
      </c>
      <c r="H66" s="112">
        <v>0</v>
      </c>
      <c r="I66" s="114">
        <v>0</v>
      </c>
      <c r="J66" s="112">
        <v>0</v>
      </c>
      <c r="K66" s="112">
        <v>0</v>
      </c>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row>
    <row r="67" spans="1:69" s="101" customFormat="1" ht="15" customHeight="1">
      <c r="A67" s="113" t="s">
        <v>120</v>
      </c>
      <c r="B67" s="112">
        <v>42.3</v>
      </c>
      <c r="C67" s="112">
        <v>0</v>
      </c>
      <c r="D67" s="112">
        <v>37.1</v>
      </c>
      <c r="E67" s="112">
        <v>0</v>
      </c>
      <c r="F67" s="112">
        <v>9.6999999999999993</v>
      </c>
      <c r="G67" s="112">
        <v>23.1</v>
      </c>
      <c r="H67" s="112">
        <v>4</v>
      </c>
      <c r="I67" s="112">
        <v>5.0999999999999996</v>
      </c>
      <c r="J67" s="112">
        <v>0</v>
      </c>
      <c r="K67" s="112">
        <v>0</v>
      </c>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row>
    <row r="68" spans="1:69" s="101" customFormat="1" ht="15" customHeight="1">
      <c r="A68" s="113" t="s">
        <v>121</v>
      </c>
      <c r="B68" s="112">
        <v>188.5</v>
      </c>
      <c r="C68" s="112">
        <v>0</v>
      </c>
      <c r="D68" s="112">
        <v>165.7</v>
      </c>
      <c r="E68" s="112">
        <v>108</v>
      </c>
      <c r="F68" s="112">
        <v>28.4</v>
      </c>
      <c r="G68" s="112">
        <v>28.2</v>
      </c>
      <c r="H68" s="112">
        <v>1.1000000000000001</v>
      </c>
      <c r="I68" s="112">
        <v>22.8</v>
      </c>
      <c r="J68" s="112">
        <v>0</v>
      </c>
      <c r="K68" s="112">
        <v>0</v>
      </c>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row>
    <row r="69" spans="1:69" s="101" customFormat="1" ht="15" customHeight="1">
      <c r="A69" s="113" t="s">
        <v>122</v>
      </c>
      <c r="B69" s="112">
        <v>84.4</v>
      </c>
      <c r="C69" s="112">
        <v>0</v>
      </c>
      <c r="D69" s="112">
        <v>0</v>
      </c>
      <c r="E69" s="112">
        <v>0</v>
      </c>
      <c r="F69" s="112">
        <v>0</v>
      </c>
      <c r="G69" s="112">
        <v>0</v>
      </c>
      <c r="H69" s="112">
        <v>0</v>
      </c>
      <c r="I69" s="112">
        <v>0</v>
      </c>
      <c r="J69" s="112">
        <v>84.4</v>
      </c>
      <c r="K69" s="112">
        <v>0</v>
      </c>
      <c r="L69" s="109"/>
      <c r="M69" s="109"/>
      <c r="N69" s="109"/>
      <c r="O69" s="109"/>
      <c r="P69" s="109"/>
      <c r="Q69" s="109"/>
      <c r="R69" s="109"/>
      <c r="S69" s="109"/>
      <c r="T69" s="109"/>
      <c r="U69" s="109"/>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row>
    <row r="70" spans="1:69" s="101" customFormat="1" ht="15" customHeight="1">
      <c r="A70" s="111" t="s">
        <v>123</v>
      </c>
      <c r="B70" s="112">
        <v>159.6</v>
      </c>
      <c r="C70" s="112">
        <v>0</v>
      </c>
      <c r="D70" s="112">
        <v>0</v>
      </c>
      <c r="E70" s="112">
        <v>0</v>
      </c>
      <c r="F70" s="112">
        <v>0</v>
      </c>
      <c r="G70" s="112">
        <v>0</v>
      </c>
      <c r="H70" s="112">
        <v>0</v>
      </c>
      <c r="I70" s="112">
        <v>0</v>
      </c>
      <c r="J70" s="112">
        <v>0</v>
      </c>
      <c r="K70" s="112">
        <v>159.6</v>
      </c>
      <c r="L70" s="109"/>
      <c r="M70" s="109"/>
      <c r="N70" s="109"/>
      <c r="O70" s="109"/>
      <c r="P70" s="109"/>
      <c r="Q70" s="109"/>
      <c r="R70" s="109"/>
      <c r="S70" s="109"/>
      <c r="T70" s="109"/>
      <c r="U70" s="109"/>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row>
    <row r="71" spans="1:69" s="101" customFormat="1" ht="15" customHeight="1">
      <c r="A71" s="113" t="s">
        <v>124</v>
      </c>
      <c r="B71" s="112">
        <v>46</v>
      </c>
      <c r="C71" s="112">
        <v>0</v>
      </c>
      <c r="D71" s="112">
        <v>0</v>
      </c>
      <c r="E71" s="112">
        <v>0</v>
      </c>
      <c r="F71" s="112">
        <v>0</v>
      </c>
      <c r="G71" s="112">
        <v>0</v>
      </c>
      <c r="H71" s="112">
        <v>0</v>
      </c>
      <c r="I71" s="112">
        <v>0</v>
      </c>
      <c r="J71" s="112">
        <v>0</v>
      </c>
      <c r="K71" s="112">
        <v>46</v>
      </c>
      <c r="L71" s="109"/>
      <c r="M71" s="109"/>
      <c r="N71" s="109"/>
      <c r="O71" s="109"/>
      <c r="P71" s="109"/>
      <c r="Q71" s="109"/>
      <c r="R71" s="109"/>
      <c r="S71" s="109"/>
      <c r="T71" s="109"/>
      <c r="U71" s="109"/>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row>
    <row r="72" spans="1:69" s="101" customFormat="1" ht="15" customHeight="1">
      <c r="A72" s="113" t="s">
        <v>125</v>
      </c>
      <c r="B72" s="112">
        <v>113.5</v>
      </c>
      <c r="C72" s="112">
        <v>0</v>
      </c>
      <c r="D72" s="112">
        <v>0</v>
      </c>
      <c r="E72" s="112">
        <v>0</v>
      </c>
      <c r="F72" s="121">
        <v>0</v>
      </c>
      <c r="G72" s="112">
        <v>0</v>
      </c>
      <c r="H72" s="112">
        <v>0</v>
      </c>
      <c r="I72" s="112">
        <v>0</v>
      </c>
      <c r="J72" s="112">
        <v>0</v>
      </c>
      <c r="K72" s="112">
        <v>113.5</v>
      </c>
      <c r="L72" s="109"/>
      <c r="M72" s="109"/>
      <c r="N72" s="109"/>
      <c r="O72" s="109"/>
      <c r="P72" s="109"/>
      <c r="Q72" s="109"/>
      <c r="R72" s="109"/>
      <c r="S72" s="109"/>
      <c r="T72" s="109"/>
      <c r="U72" s="109"/>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row>
    <row r="73" spans="1:69" s="101" customFormat="1" ht="15" customHeight="1">
      <c r="A73" s="103" t="s">
        <v>129</v>
      </c>
      <c r="B73" s="104" t="s">
        <v>24</v>
      </c>
      <c r="C73" s="105"/>
      <c r="D73" s="105"/>
      <c r="E73" s="105"/>
      <c r="F73" s="106"/>
      <c r="G73" s="105"/>
      <c r="H73" s="105"/>
      <c r="I73" s="105"/>
      <c r="J73" s="105"/>
      <c r="K73" s="105"/>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row>
    <row r="74" spans="1:69" s="101" customFormat="1" ht="15" customHeight="1">
      <c r="A74" s="103" t="s">
        <v>25</v>
      </c>
      <c r="B74" s="108">
        <v>3177.7</v>
      </c>
      <c r="C74" s="108">
        <v>353.8</v>
      </c>
      <c r="D74" s="108">
        <v>2293.3000000000002</v>
      </c>
      <c r="E74" s="108">
        <v>981.6</v>
      </c>
      <c r="F74" s="108">
        <v>647.79999999999995</v>
      </c>
      <c r="G74" s="108">
        <v>542.70000000000005</v>
      </c>
      <c r="H74" s="108">
        <v>121.1</v>
      </c>
      <c r="I74" s="108">
        <v>280.89999999999998</v>
      </c>
      <c r="J74" s="108">
        <v>85.7</v>
      </c>
      <c r="K74" s="108">
        <v>164</v>
      </c>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row>
    <row r="75" spans="1:69" s="101" customFormat="1" ht="15" customHeight="1">
      <c r="A75" s="111" t="s">
        <v>106</v>
      </c>
      <c r="B75" s="121">
        <v>3013.7</v>
      </c>
      <c r="C75" s="121">
        <v>353.8</v>
      </c>
      <c r="D75" s="121">
        <v>2293.3000000000002</v>
      </c>
      <c r="E75" s="121">
        <v>981.6</v>
      </c>
      <c r="F75" s="121">
        <v>647.79999999999995</v>
      </c>
      <c r="G75" s="121">
        <v>542.70000000000005</v>
      </c>
      <c r="H75" s="121">
        <v>121.1</v>
      </c>
      <c r="I75" s="121">
        <v>280.89999999999998</v>
      </c>
      <c r="J75" s="121">
        <v>85.7</v>
      </c>
      <c r="K75" s="121">
        <v>0</v>
      </c>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row>
    <row r="76" spans="1:69" s="101" customFormat="1" ht="15" customHeight="1">
      <c r="A76" s="113" t="s">
        <v>107</v>
      </c>
      <c r="B76" s="121">
        <v>2686.2</v>
      </c>
      <c r="C76" s="121">
        <v>353.8</v>
      </c>
      <c r="D76" s="121">
        <v>2080.1085456999999</v>
      </c>
      <c r="E76" s="121">
        <v>874.49693597999999</v>
      </c>
      <c r="F76" s="121">
        <v>606.20000000000005</v>
      </c>
      <c r="G76" s="121">
        <v>484.2</v>
      </c>
      <c r="H76" s="121">
        <v>115.2</v>
      </c>
      <c r="I76" s="121">
        <v>252.3</v>
      </c>
      <c r="J76" s="121">
        <v>0</v>
      </c>
      <c r="K76" s="121">
        <v>0</v>
      </c>
      <c r="L76" s="109"/>
      <c r="M76" s="109"/>
      <c r="N76" s="109"/>
      <c r="O76" s="109"/>
      <c r="P76" s="109"/>
      <c r="Q76" s="109"/>
      <c r="R76" s="109"/>
      <c r="S76" s="109"/>
      <c r="T76" s="109"/>
      <c r="U76" s="109"/>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row>
    <row r="77" spans="1:69" s="101" customFormat="1" ht="15" customHeight="1">
      <c r="A77" s="113" t="s">
        <v>108</v>
      </c>
      <c r="B77" s="121">
        <v>989</v>
      </c>
      <c r="C77" s="121">
        <v>29.7</v>
      </c>
      <c r="D77" s="121">
        <v>862.1</v>
      </c>
      <c r="E77" s="121">
        <v>350.3</v>
      </c>
      <c r="F77" s="121">
        <v>261.7</v>
      </c>
      <c r="G77" s="121">
        <v>186.2</v>
      </c>
      <c r="H77" s="121">
        <v>63.9</v>
      </c>
      <c r="I77" s="121">
        <v>97.1</v>
      </c>
      <c r="J77" s="121">
        <v>0</v>
      </c>
      <c r="K77" s="121">
        <v>0</v>
      </c>
      <c r="L77" s="109"/>
      <c r="M77" s="109"/>
      <c r="N77" s="109"/>
      <c r="O77" s="109"/>
      <c r="P77" s="109"/>
      <c r="Q77" s="109"/>
      <c r="R77" s="109"/>
      <c r="S77" s="109"/>
      <c r="T77" s="109"/>
      <c r="U77" s="109"/>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row>
    <row r="78" spans="1:69" s="101" customFormat="1" ht="15" customHeight="1">
      <c r="A78" s="113" t="s">
        <v>109</v>
      </c>
      <c r="B78" s="121">
        <v>843.3</v>
      </c>
      <c r="C78" s="121">
        <v>125.9</v>
      </c>
      <c r="D78" s="121">
        <v>628.9</v>
      </c>
      <c r="E78" s="121">
        <v>338.6</v>
      </c>
      <c r="F78" s="121">
        <v>170</v>
      </c>
      <c r="G78" s="121">
        <v>88.2</v>
      </c>
      <c r="H78" s="121">
        <v>32.1</v>
      </c>
      <c r="I78" s="121">
        <v>88.5</v>
      </c>
      <c r="J78" s="121">
        <v>0</v>
      </c>
      <c r="K78" s="121">
        <v>0</v>
      </c>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row>
    <row r="79" spans="1:69" s="101" customFormat="1" ht="15" customHeight="1">
      <c r="A79" s="113" t="s">
        <v>110</v>
      </c>
      <c r="B79" s="121">
        <v>635.9</v>
      </c>
      <c r="C79" s="121">
        <v>54.3</v>
      </c>
      <c r="D79" s="121">
        <v>505.8</v>
      </c>
      <c r="E79" s="121">
        <v>258.10000000000002</v>
      </c>
      <c r="F79" s="121">
        <v>149.30000000000001</v>
      </c>
      <c r="G79" s="121">
        <v>70.099999999999994</v>
      </c>
      <c r="H79" s="121">
        <v>28.3</v>
      </c>
      <c r="I79" s="121">
        <v>75.900000000000006</v>
      </c>
      <c r="J79" s="121">
        <v>0</v>
      </c>
      <c r="K79" s="121">
        <v>0</v>
      </c>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row>
    <row r="80" spans="1:69" s="101" customFormat="1" ht="15" customHeight="1">
      <c r="A80" s="113" t="s">
        <v>111</v>
      </c>
      <c r="B80" s="121">
        <v>87.4</v>
      </c>
      <c r="C80" s="121">
        <v>21.4</v>
      </c>
      <c r="D80" s="121">
        <v>54.8</v>
      </c>
      <c r="E80" s="121">
        <v>27.7</v>
      </c>
      <c r="F80" s="121">
        <v>20.2</v>
      </c>
      <c r="G80" s="121">
        <v>6.6</v>
      </c>
      <c r="H80" s="121">
        <v>0.3</v>
      </c>
      <c r="I80" s="121">
        <v>11.1</v>
      </c>
      <c r="J80" s="121">
        <v>0</v>
      </c>
      <c r="K80" s="121">
        <v>0</v>
      </c>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row>
    <row r="81" spans="1:69" s="101" customFormat="1" ht="15" customHeight="1">
      <c r="A81" s="113" t="s">
        <v>112</v>
      </c>
      <c r="B81" s="121">
        <v>120</v>
      </c>
      <c r="C81" s="121">
        <v>50.2</v>
      </c>
      <c r="D81" s="121">
        <v>68.3</v>
      </c>
      <c r="E81" s="121">
        <v>52.8</v>
      </c>
      <c r="F81" s="121">
        <v>0.5</v>
      </c>
      <c r="G81" s="121">
        <v>11.5</v>
      </c>
      <c r="H81" s="121">
        <v>3.5</v>
      </c>
      <c r="I81" s="121">
        <v>1.5</v>
      </c>
      <c r="J81" s="121">
        <v>0</v>
      </c>
      <c r="K81" s="121">
        <v>0</v>
      </c>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row>
    <row r="82" spans="1:69" s="101" customFormat="1" ht="15" customHeight="1">
      <c r="A82" s="113" t="s">
        <v>113</v>
      </c>
      <c r="B82" s="121">
        <v>165.4</v>
      </c>
      <c r="C82" s="121">
        <v>5.2</v>
      </c>
      <c r="D82" s="121">
        <v>113.1</v>
      </c>
      <c r="E82" s="121">
        <v>11.8</v>
      </c>
      <c r="F82" s="121">
        <v>5</v>
      </c>
      <c r="G82" s="121">
        <v>94.1</v>
      </c>
      <c r="H82" s="121">
        <v>2.2000000000000002</v>
      </c>
      <c r="I82" s="121">
        <v>47.1</v>
      </c>
      <c r="J82" s="121">
        <v>0</v>
      </c>
      <c r="K82" s="121">
        <v>0</v>
      </c>
      <c r="L82" s="109"/>
      <c r="M82" s="109"/>
      <c r="N82" s="109"/>
      <c r="O82" s="109"/>
      <c r="P82" s="109"/>
      <c r="Q82" s="109"/>
      <c r="R82" s="109"/>
      <c r="S82" s="109"/>
      <c r="T82" s="109"/>
      <c r="U82" s="109"/>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row>
    <row r="83" spans="1:69" s="101" customFormat="1" ht="15" customHeight="1">
      <c r="A83" s="113" t="s">
        <v>114</v>
      </c>
      <c r="B83" s="121">
        <v>89.9</v>
      </c>
      <c r="C83" s="121">
        <v>9</v>
      </c>
      <c r="D83" s="121">
        <v>78.3</v>
      </c>
      <c r="E83" s="121">
        <v>10.6</v>
      </c>
      <c r="F83" s="121">
        <v>35.799999999999997</v>
      </c>
      <c r="G83" s="121">
        <v>31.1</v>
      </c>
      <c r="H83" s="121">
        <v>0.7</v>
      </c>
      <c r="I83" s="121">
        <v>2.6</v>
      </c>
      <c r="J83" s="121">
        <v>0</v>
      </c>
      <c r="K83" s="121">
        <v>0</v>
      </c>
      <c r="L83" s="109"/>
      <c r="M83" s="109"/>
      <c r="N83" s="109"/>
      <c r="O83" s="109"/>
      <c r="P83" s="109"/>
      <c r="Q83" s="109"/>
      <c r="R83" s="109"/>
      <c r="S83" s="109"/>
      <c r="T83" s="109"/>
      <c r="U83" s="109"/>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row>
    <row r="84" spans="1:69" s="101" customFormat="1" ht="15" customHeight="1">
      <c r="A84" s="113" t="s">
        <v>115</v>
      </c>
      <c r="B84" s="121">
        <v>156.19999999999999</v>
      </c>
      <c r="C84" s="121">
        <v>40</v>
      </c>
      <c r="D84" s="121">
        <v>104.8</v>
      </c>
      <c r="E84" s="121">
        <v>13.3</v>
      </c>
      <c r="F84" s="121">
        <v>37</v>
      </c>
      <c r="G84" s="121">
        <v>49.6</v>
      </c>
      <c r="H84" s="121">
        <v>5</v>
      </c>
      <c r="I84" s="121">
        <v>11.5</v>
      </c>
      <c r="J84" s="121">
        <v>0</v>
      </c>
      <c r="K84" s="121">
        <v>0</v>
      </c>
      <c r="L84" s="109"/>
      <c r="M84" s="109"/>
      <c r="N84" s="109"/>
      <c r="O84" s="109"/>
      <c r="P84" s="109"/>
      <c r="Q84" s="109"/>
      <c r="R84" s="109"/>
      <c r="S84" s="109"/>
      <c r="T84" s="109"/>
      <c r="U84" s="109"/>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row>
    <row r="85" spans="1:69" s="101" customFormat="1" ht="15" customHeight="1">
      <c r="A85" s="113" t="s">
        <v>116</v>
      </c>
      <c r="B85" s="121">
        <v>442.4</v>
      </c>
      <c r="C85" s="121">
        <v>144</v>
      </c>
      <c r="D85" s="121">
        <v>292.89999999999998</v>
      </c>
      <c r="E85" s="121">
        <v>150</v>
      </c>
      <c r="F85" s="121">
        <v>96.6</v>
      </c>
      <c r="G85" s="121">
        <v>35</v>
      </c>
      <c r="H85" s="121">
        <v>11.3</v>
      </c>
      <c r="I85" s="121">
        <v>5.5</v>
      </c>
      <c r="J85" s="121">
        <v>0</v>
      </c>
      <c r="K85" s="121">
        <v>0</v>
      </c>
      <c r="L85" s="109"/>
      <c r="M85" s="109"/>
      <c r="N85" s="109"/>
      <c r="O85" s="109"/>
      <c r="P85" s="109"/>
      <c r="Q85" s="109"/>
      <c r="R85" s="109"/>
      <c r="S85" s="109"/>
      <c r="T85" s="109"/>
      <c r="U85" s="109"/>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row>
    <row r="86" spans="1:69" s="101" customFormat="1" ht="15" customHeight="1">
      <c r="A86" s="113" t="s">
        <v>117</v>
      </c>
      <c r="B86" s="121">
        <v>324.39999999999998</v>
      </c>
      <c r="C86" s="121">
        <v>54.4</v>
      </c>
      <c r="D86" s="121">
        <v>265.5</v>
      </c>
      <c r="E86" s="121">
        <v>140.30000000000001</v>
      </c>
      <c r="F86" s="121">
        <v>86.4</v>
      </c>
      <c r="G86" s="121">
        <v>27.7</v>
      </c>
      <c r="H86" s="121">
        <v>11.1</v>
      </c>
      <c r="I86" s="121">
        <v>4.4000000000000004</v>
      </c>
      <c r="J86" s="121">
        <v>0</v>
      </c>
      <c r="K86" s="121">
        <v>0</v>
      </c>
      <c r="L86" s="109"/>
      <c r="M86" s="109"/>
      <c r="N86" s="109"/>
      <c r="O86" s="109"/>
      <c r="P86" s="109"/>
      <c r="Q86" s="109"/>
      <c r="R86" s="109"/>
      <c r="S86" s="109"/>
      <c r="T86" s="109"/>
      <c r="U86" s="109"/>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row>
    <row r="87" spans="1:69" s="101" customFormat="1" ht="15" customHeight="1">
      <c r="A87" s="113" t="s">
        <v>118</v>
      </c>
      <c r="B87" s="121">
        <v>48.8</v>
      </c>
      <c r="C87" s="121">
        <v>22.6</v>
      </c>
      <c r="D87" s="121">
        <v>25.1</v>
      </c>
      <c r="E87" s="121">
        <v>9.6999999999999993</v>
      </c>
      <c r="F87" s="121">
        <v>8</v>
      </c>
      <c r="G87" s="121">
        <v>7.3</v>
      </c>
      <c r="H87" s="121">
        <v>0.1</v>
      </c>
      <c r="I87" s="121">
        <v>1.1000000000000001</v>
      </c>
      <c r="J87" s="121">
        <v>0</v>
      </c>
      <c r="K87" s="121">
        <v>0</v>
      </c>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row>
    <row r="88" spans="1:69" s="101" customFormat="1" ht="15" customHeight="1">
      <c r="A88" s="113" t="s">
        <v>119</v>
      </c>
      <c r="B88" s="121">
        <v>69.3</v>
      </c>
      <c r="C88" s="121">
        <v>67</v>
      </c>
      <c r="D88" s="121">
        <v>2.2999999999999998</v>
      </c>
      <c r="E88" s="121">
        <v>0</v>
      </c>
      <c r="F88" s="121">
        <v>2.2999999999999998</v>
      </c>
      <c r="G88" s="121">
        <v>0</v>
      </c>
      <c r="H88" s="121">
        <v>0</v>
      </c>
      <c r="I88" s="122">
        <v>0</v>
      </c>
      <c r="J88" s="121">
        <v>0</v>
      </c>
      <c r="K88" s="121">
        <v>0</v>
      </c>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row>
    <row r="89" spans="1:69" s="101" customFormat="1" ht="15" customHeight="1">
      <c r="A89" s="113" t="s">
        <v>120</v>
      </c>
      <c r="B89" s="121">
        <v>42.8</v>
      </c>
      <c r="C89" s="121">
        <v>0</v>
      </c>
      <c r="D89" s="121">
        <v>38.1</v>
      </c>
      <c r="E89" s="121">
        <v>0</v>
      </c>
      <c r="F89" s="121">
        <v>9.8000000000000007</v>
      </c>
      <c r="G89" s="121">
        <v>23.6</v>
      </c>
      <c r="H89" s="121">
        <v>4.3</v>
      </c>
      <c r="I89" s="121">
        <v>4.7</v>
      </c>
      <c r="J89" s="121">
        <v>0</v>
      </c>
      <c r="K89" s="121">
        <v>0</v>
      </c>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row>
    <row r="90" spans="1:69" s="101" customFormat="1" ht="15" customHeight="1">
      <c r="A90" s="113" t="s">
        <v>121</v>
      </c>
      <c r="B90" s="121">
        <v>199.1</v>
      </c>
      <c r="C90" s="121">
        <v>0</v>
      </c>
      <c r="D90" s="121">
        <v>175.1</v>
      </c>
      <c r="E90" s="121">
        <v>107.1</v>
      </c>
      <c r="F90" s="121">
        <v>31.8</v>
      </c>
      <c r="G90" s="121">
        <v>34.9</v>
      </c>
      <c r="H90" s="121">
        <v>1.3</v>
      </c>
      <c r="I90" s="121">
        <v>24</v>
      </c>
      <c r="J90" s="121">
        <v>0</v>
      </c>
      <c r="K90" s="121">
        <v>0</v>
      </c>
      <c r="L90" s="109"/>
      <c r="M90" s="109"/>
      <c r="N90" s="109"/>
      <c r="O90" s="109"/>
      <c r="P90" s="109"/>
      <c r="Q90" s="109"/>
      <c r="R90" s="109"/>
      <c r="S90" s="109"/>
      <c r="T90" s="109"/>
      <c r="U90" s="109"/>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row>
    <row r="91" spans="1:69" s="101" customFormat="1" ht="15" customHeight="1">
      <c r="A91" s="113" t="s">
        <v>122</v>
      </c>
      <c r="B91" s="121">
        <v>85.7</v>
      </c>
      <c r="C91" s="121">
        <v>0</v>
      </c>
      <c r="D91" s="121">
        <v>0</v>
      </c>
      <c r="E91" s="121">
        <v>0</v>
      </c>
      <c r="F91" s="121">
        <v>0</v>
      </c>
      <c r="G91" s="121">
        <v>0</v>
      </c>
      <c r="H91" s="121">
        <v>0</v>
      </c>
      <c r="I91" s="121">
        <v>0</v>
      </c>
      <c r="J91" s="121">
        <v>85.7</v>
      </c>
      <c r="K91" s="121">
        <v>0</v>
      </c>
      <c r="L91" s="109"/>
      <c r="M91" s="109"/>
      <c r="N91" s="109"/>
      <c r="O91" s="109"/>
      <c r="P91" s="109"/>
      <c r="Q91" s="109"/>
      <c r="R91" s="109"/>
      <c r="S91" s="109"/>
      <c r="T91" s="109"/>
      <c r="U91" s="109"/>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row>
    <row r="92" spans="1:69" s="101" customFormat="1" ht="15" customHeight="1">
      <c r="A92" s="111" t="s">
        <v>123</v>
      </c>
      <c r="B92" s="121">
        <v>164</v>
      </c>
      <c r="C92" s="121">
        <v>0</v>
      </c>
      <c r="D92" s="121">
        <v>0</v>
      </c>
      <c r="E92" s="121">
        <v>0</v>
      </c>
      <c r="F92" s="121">
        <v>0</v>
      </c>
      <c r="G92" s="121">
        <v>0</v>
      </c>
      <c r="H92" s="121">
        <v>0</v>
      </c>
      <c r="I92" s="121">
        <v>0</v>
      </c>
      <c r="J92" s="121">
        <v>0</v>
      </c>
      <c r="K92" s="121">
        <v>164</v>
      </c>
      <c r="L92" s="109"/>
      <c r="M92" s="109"/>
      <c r="N92" s="109"/>
      <c r="O92" s="109"/>
      <c r="P92" s="109"/>
      <c r="Q92" s="109"/>
      <c r="R92" s="109"/>
      <c r="S92" s="109"/>
      <c r="T92" s="109"/>
      <c r="U92" s="109"/>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row>
    <row r="93" spans="1:69" s="101" customFormat="1" ht="15" customHeight="1">
      <c r="A93" s="113" t="s">
        <v>124</v>
      </c>
      <c r="B93" s="121">
        <v>46.4</v>
      </c>
      <c r="C93" s="121">
        <v>0</v>
      </c>
      <c r="D93" s="121">
        <v>0</v>
      </c>
      <c r="E93" s="121">
        <v>0</v>
      </c>
      <c r="F93" s="121">
        <v>0</v>
      </c>
      <c r="G93" s="121">
        <v>0</v>
      </c>
      <c r="H93" s="121">
        <v>0</v>
      </c>
      <c r="I93" s="121">
        <v>0</v>
      </c>
      <c r="J93" s="121">
        <v>0</v>
      </c>
      <c r="K93" s="121">
        <v>46.4</v>
      </c>
      <c r="L93" s="109"/>
      <c r="M93" s="109"/>
      <c r="N93" s="109"/>
      <c r="O93" s="109"/>
      <c r="P93" s="109"/>
      <c r="Q93" s="109"/>
      <c r="R93" s="109"/>
      <c r="S93" s="109"/>
      <c r="T93" s="109"/>
      <c r="U93" s="109"/>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row>
    <row r="94" spans="1:69" s="101" customFormat="1" ht="15" customHeight="1" thickBot="1">
      <c r="A94" s="115" t="s">
        <v>125</v>
      </c>
      <c r="B94" s="116">
        <v>117.6</v>
      </c>
      <c r="C94" s="116">
        <v>0</v>
      </c>
      <c r="D94" s="116">
        <v>0</v>
      </c>
      <c r="E94" s="116">
        <v>0</v>
      </c>
      <c r="F94" s="116">
        <v>0</v>
      </c>
      <c r="G94" s="116">
        <v>0</v>
      </c>
      <c r="H94" s="116">
        <v>0</v>
      </c>
      <c r="I94" s="116">
        <v>0</v>
      </c>
      <c r="J94" s="116">
        <v>0</v>
      </c>
      <c r="K94" s="116">
        <v>117.6</v>
      </c>
      <c r="L94" s="109"/>
      <c r="M94" s="109"/>
      <c r="N94" s="109"/>
      <c r="O94" s="109"/>
      <c r="P94" s="109"/>
      <c r="Q94" s="109"/>
      <c r="R94" s="109"/>
      <c r="S94" s="109"/>
      <c r="T94" s="109"/>
      <c r="U94" s="109"/>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row>
    <row r="95" spans="1:69" ht="30.65" customHeight="1" thickBot="1">
      <c r="A95" s="89" t="s">
        <v>130</v>
      </c>
      <c r="B95" s="89"/>
      <c r="C95" s="89"/>
      <c r="D95" s="89"/>
      <c r="E95" s="89"/>
      <c r="F95" s="89"/>
      <c r="G95" s="89"/>
      <c r="H95" s="89"/>
      <c r="I95" s="89"/>
      <c r="J95" s="89"/>
      <c r="K95" s="89"/>
    </row>
    <row r="96" spans="1:69" s="101" customFormat="1" ht="12" customHeight="1" thickBot="1">
      <c r="A96" s="93" t="s">
        <v>47</v>
      </c>
      <c r="B96" s="93" t="s">
        <v>47</v>
      </c>
      <c r="C96" s="93" t="s">
        <v>47</v>
      </c>
      <c r="D96" s="117" t="s">
        <v>96</v>
      </c>
      <c r="E96" s="118"/>
      <c r="F96" s="119"/>
      <c r="G96" s="120"/>
      <c r="H96" s="119"/>
      <c r="I96" s="98"/>
      <c r="J96" s="98"/>
      <c r="K96" s="98"/>
    </row>
    <row r="97" spans="1:69" s="101" customFormat="1" ht="36.75" customHeight="1" thickBot="1">
      <c r="A97" s="99" t="s">
        <v>97</v>
      </c>
      <c r="B97" s="99" t="s">
        <v>98</v>
      </c>
      <c r="C97" s="99" t="s">
        <v>99</v>
      </c>
      <c r="D97" s="99" t="s">
        <v>96</v>
      </c>
      <c r="E97" s="100" t="s">
        <v>100</v>
      </c>
      <c r="F97" s="99" t="s">
        <v>101</v>
      </c>
      <c r="G97" s="99" t="s">
        <v>102</v>
      </c>
      <c r="H97" s="99" t="s">
        <v>103</v>
      </c>
      <c r="I97" s="99" t="s">
        <v>104</v>
      </c>
      <c r="J97" s="99" t="s">
        <v>13</v>
      </c>
      <c r="K97" s="99" t="s">
        <v>71</v>
      </c>
      <c r="V97" s="102"/>
    </row>
    <row r="98" spans="1:69" s="101" customFormat="1" ht="15" customHeight="1">
      <c r="A98" s="103" t="s">
        <v>131</v>
      </c>
      <c r="B98" s="104" t="s">
        <v>24</v>
      </c>
      <c r="C98" s="105"/>
      <c r="D98" s="105"/>
      <c r="E98" s="105"/>
      <c r="F98" s="106"/>
      <c r="G98" s="105"/>
      <c r="H98" s="105"/>
      <c r="I98" s="105"/>
      <c r="J98" s="105"/>
      <c r="K98" s="105"/>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row>
    <row r="99" spans="1:69" s="101" customFormat="1" ht="15" customHeight="1">
      <c r="A99" s="103" t="s">
        <v>25</v>
      </c>
      <c r="B99" s="108">
        <v>3324.5</v>
      </c>
      <c r="C99" s="108">
        <v>367.3</v>
      </c>
      <c r="D99" s="108">
        <v>2405.6</v>
      </c>
      <c r="E99" s="108">
        <v>1039.5999999999999</v>
      </c>
      <c r="F99" s="108">
        <v>675.8</v>
      </c>
      <c r="G99" s="108">
        <v>564.79999999999995</v>
      </c>
      <c r="H99" s="108">
        <v>125.4</v>
      </c>
      <c r="I99" s="108">
        <v>296.2</v>
      </c>
      <c r="J99" s="108">
        <v>88.4</v>
      </c>
      <c r="K99" s="108">
        <v>167</v>
      </c>
    </row>
    <row r="100" spans="1:69" s="101" customFormat="1" ht="15" customHeight="1">
      <c r="A100" s="111" t="s">
        <v>106</v>
      </c>
      <c r="B100" s="112">
        <v>3157.5</v>
      </c>
      <c r="C100" s="112">
        <v>367.3</v>
      </c>
      <c r="D100" s="112">
        <v>2405.6</v>
      </c>
      <c r="E100" s="112">
        <v>1039.5999999999999</v>
      </c>
      <c r="F100" s="112">
        <v>675.8</v>
      </c>
      <c r="G100" s="112">
        <v>564.79999999999995</v>
      </c>
      <c r="H100" s="112">
        <v>125.4</v>
      </c>
      <c r="I100" s="112">
        <v>296.2</v>
      </c>
      <c r="J100" s="112">
        <v>88.4</v>
      </c>
      <c r="K100" s="112">
        <v>0</v>
      </c>
    </row>
    <row r="101" spans="1:69" s="101" customFormat="1" ht="15" customHeight="1">
      <c r="A101" s="113" t="s">
        <v>107</v>
      </c>
      <c r="B101" s="112">
        <v>2813.5</v>
      </c>
      <c r="C101" s="112">
        <v>367.3</v>
      </c>
      <c r="D101" s="112">
        <v>2177.6562555999999</v>
      </c>
      <c r="E101" s="112">
        <v>926.46083525999995</v>
      </c>
      <c r="F101" s="112">
        <v>628.9</v>
      </c>
      <c r="G101" s="112">
        <v>503.3</v>
      </c>
      <c r="H101" s="112">
        <v>119</v>
      </c>
      <c r="I101" s="112">
        <v>268.5</v>
      </c>
      <c r="J101" s="112">
        <v>0</v>
      </c>
      <c r="K101" s="112">
        <v>0</v>
      </c>
    </row>
    <row r="102" spans="1:69" s="101" customFormat="1" ht="15" customHeight="1">
      <c r="A102" s="113" t="s">
        <v>108</v>
      </c>
      <c r="B102" s="112">
        <v>1035.4000000000001</v>
      </c>
      <c r="C102" s="112">
        <v>30.6</v>
      </c>
      <c r="D102" s="112">
        <v>903.3</v>
      </c>
      <c r="E102" s="112">
        <v>372.6</v>
      </c>
      <c r="F102" s="112">
        <v>273.89999999999998</v>
      </c>
      <c r="G102" s="112">
        <v>190.5</v>
      </c>
      <c r="H102" s="112">
        <v>66.3</v>
      </c>
      <c r="I102" s="112">
        <v>101.5</v>
      </c>
      <c r="J102" s="112">
        <v>0</v>
      </c>
      <c r="K102" s="112">
        <v>0</v>
      </c>
    </row>
    <row r="103" spans="1:69" s="101" customFormat="1" ht="15" customHeight="1">
      <c r="A103" s="113" t="s">
        <v>109</v>
      </c>
      <c r="B103" s="112">
        <v>893.8</v>
      </c>
      <c r="C103" s="112">
        <v>132.1</v>
      </c>
      <c r="D103" s="112">
        <v>664.5</v>
      </c>
      <c r="E103" s="112">
        <v>361.7</v>
      </c>
      <c r="F103" s="112">
        <v>176.3</v>
      </c>
      <c r="G103" s="112">
        <v>92.4</v>
      </c>
      <c r="H103" s="112">
        <v>34</v>
      </c>
      <c r="I103" s="112">
        <v>97.2</v>
      </c>
      <c r="J103" s="112">
        <v>0</v>
      </c>
      <c r="K103" s="112">
        <v>0</v>
      </c>
    </row>
    <row r="104" spans="1:69" s="101" customFormat="1" ht="15" customHeight="1">
      <c r="A104" s="113" t="s">
        <v>110</v>
      </c>
      <c r="B104" s="112">
        <v>675.5</v>
      </c>
      <c r="C104" s="112">
        <v>56.8</v>
      </c>
      <c r="D104" s="112">
        <v>534.70000000000005</v>
      </c>
      <c r="E104" s="112">
        <v>276.89999999999998</v>
      </c>
      <c r="F104" s="112">
        <v>154.5</v>
      </c>
      <c r="G104" s="112">
        <v>73.2</v>
      </c>
      <c r="H104" s="112">
        <v>30.1</v>
      </c>
      <c r="I104" s="112">
        <v>84</v>
      </c>
      <c r="J104" s="112">
        <v>0</v>
      </c>
      <c r="K104" s="112">
        <v>0</v>
      </c>
    </row>
    <row r="105" spans="1:69" s="101" customFormat="1" ht="15" customHeight="1">
      <c r="A105" s="113" t="s">
        <v>111</v>
      </c>
      <c r="B105" s="112">
        <v>92.1</v>
      </c>
      <c r="C105" s="112">
        <v>22.5</v>
      </c>
      <c r="D105" s="112">
        <v>57.9</v>
      </c>
      <c r="E105" s="112">
        <v>29.4</v>
      </c>
      <c r="F105" s="112">
        <v>21.2</v>
      </c>
      <c r="G105" s="112">
        <v>6.9</v>
      </c>
      <c r="H105" s="112">
        <v>0.3</v>
      </c>
      <c r="I105" s="112">
        <v>11.6</v>
      </c>
      <c r="J105" s="112">
        <v>0</v>
      </c>
      <c r="K105" s="112">
        <v>0</v>
      </c>
    </row>
    <row r="106" spans="1:69" s="101" customFormat="1" ht="15" customHeight="1">
      <c r="A106" s="113" t="s">
        <v>112</v>
      </c>
      <c r="B106" s="112">
        <v>126.2</v>
      </c>
      <c r="C106" s="112">
        <v>52.8</v>
      </c>
      <c r="D106" s="112">
        <v>71.8</v>
      </c>
      <c r="E106" s="112">
        <v>55.4</v>
      </c>
      <c r="F106" s="112">
        <v>0.5</v>
      </c>
      <c r="G106" s="112">
        <v>12.3</v>
      </c>
      <c r="H106" s="112">
        <v>3.6</v>
      </c>
      <c r="I106" s="112">
        <v>1.5</v>
      </c>
      <c r="J106" s="112">
        <v>0</v>
      </c>
      <c r="K106" s="112">
        <v>0</v>
      </c>
    </row>
    <row r="107" spans="1:69" s="101" customFormat="1" ht="15" customHeight="1">
      <c r="A107" s="113" t="s">
        <v>113</v>
      </c>
      <c r="B107" s="112">
        <v>175.2</v>
      </c>
      <c r="C107" s="112">
        <v>5.0999999999999996</v>
      </c>
      <c r="D107" s="112">
        <v>120.5</v>
      </c>
      <c r="E107" s="112">
        <v>12.4</v>
      </c>
      <c r="F107" s="112">
        <v>4.9000000000000004</v>
      </c>
      <c r="G107" s="112">
        <v>100.7</v>
      </c>
      <c r="H107" s="112">
        <v>2.4</v>
      </c>
      <c r="I107" s="112">
        <v>49.7</v>
      </c>
      <c r="J107" s="112">
        <v>0</v>
      </c>
      <c r="K107" s="112">
        <v>0</v>
      </c>
    </row>
    <row r="108" spans="1:69" s="101" customFormat="1" ht="15" customHeight="1">
      <c r="A108" s="113" t="s">
        <v>114</v>
      </c>
      <c r="B108" s="112">
        <v>94.6</v>
      </c>
      <c r="C108" s="112">
        <v>9.4</v>
      </c>
      <c r="D108" s="112">
        <v>82.5</v>
      </c>
      <c r="E108" s="112">
        <v>12</v>
      </c>
      <c r="F108" s="112">
        <v>37.200000000000003</v>
      </c>
      <c r="G108" s="112">
        <v>32.6</v>
      </c>
      <c r="H108" s="112">
        <v>0.7</v>
      </c>
      <c r="I108" s="112">
        <v>2.7</v>
      </c>
      <c r="J108" s="112">
        <v>0</v>
      </c>
      <c r="K108" s="112">
        <v>0</v>
      </c>
    </row>
    <row r="109" spans="1:69" s="101" customFormat="1" ht="15" customHeight="1">
      <c r="A109" s="113" t="s">
        <v>115</v>
      </c>
      <c r="B109" s="112">
        <v>161.4</v>
      </c>
      <c r="C109" s="112">
        <v>42.7</v>
      </c>
      <c r="D109" s="112">
        <v>106.6</v>
      </c>
      <c r="E109" s="112">
        <v>14.6</v>
      </c>
      <c r="F109" s="112">
        <v>37</v>
      </c>
      <c r="G109" s="112">
        <v>50</v>
      </c>
      <c r="H109" s="112">
        <v>5.0999999999999996</v>
      </c>
      <c r="I109" s="112">
        <v>12.1</v>
      </c>
      <c r="J109" s="112">
        <v>0</v>
      </c>
      <c r="K109" s="112">
        <v>0</v>
      </c>
    </row>
    <row r="110" spans="1:69" s="101" customFormat="1" ht="15" customHeight="1">
      <c r="A110" s="113" t="s">
        <v>116</v>
      </c>
      <c r="B110" s="112">
        <v>453.1</v>
      </c>
      <c r="C110" s="112">
        <v>147.4</v>
      </c>
      <c r="D110" s="112">
        <v>300.3</v>
      </c>
      <c r="E110" s="112">
        <v>153.19999999999999</v>
      </c>
      <c r="F110" s="112">
        <v>99.6</v>
      </c>
      <c r="G110" s="112">
        <v>37</v>
      </c>
      <c r="H110" s="112">
        <v>10.5</v>
      </c>
      <c r="I110" s="112">
        <v>5.4</v>
      </c>
      <c r="J110" s="112">
        <v>0</v>
      </c>
      <c r="K110" s="112">
        <v>0</v>
      </c>
    </row>
    <row r="111" spans="1:69" s="101" customFormat="1" ht="15" customHeight="1">
      <c r="A111" s="113" t="s">
        <v>117</v>
      </c>
      <c r="B111" s="112">
        <v>329.9</v>
      </c>
      <c r="C111" s="112">
        <v>53.5</v>
      </c>
      <c r="D111" s="112">
        <v>272.10000000000002</v>
      </c>
      <c r="E111" s="112">
        <v>142.5</v>
      </c>
      <c r="F111" s="112">
        <v>89.9</v>
      </c>
      <c r="G111" s="112">
        <v>29.4</v>
      </c>
      <c r="H111" s="112">
        <v>10.3</v>
      </c>
      <c r="I111" s="112">
        <v>4.3</v>
      </c>
      <c r="J111" s="112">
        <v>0</v>
      </c>
      <c r="K111" s="112">
        <v>0</v>
      </c>
    </row>
    <row r="112" spans="1:69" s="101" customFormat="1" ht="15" customHeight="1">
      <c r="A112" s="113" t="s">
        <v>118</v>
      </c>
      <c r="B112" s="112">
        <v>50.9</v>
      </c>
      <c r="C112" s="112">
        <v>23.7</v>
      </c>
      <c r="D112" s="112">
        <v>26.1</v>
      </c>
      <c r="E112" s="112">
        <v>10.7</v>
      </c>
      <c r="F112" s="112">
        <v>7.6</v>
      </c>
      <c r="G112" s="112">
        <v>7.6</v>
      </c>
      <c r="H112" s="112">
        <v>0.2</v>
      </c>
      <c r="I112" s="112">
        <v>1.1000000000000001</v>
      </c>
      <c r="J112" s="112">
        <v>0</v>
      </c>
      <c r="K112" s="112">
        <v>0</v>
      </c>
    </row>
    <row r="113" spans="1:11" s="101" customFormat="1" ht="15" customHeight="1">
      <c r="A113" s="113" t="s">
        <v>119</v>
      </c>
      <c r="B113" s="112">
        <v>72.3</v>
      </c>
      <c r="C113" s="112">
        <v>70.2</v>
      </c>
      <c r="D113" s="112">
        <v>2.1</v>
      </c>
      <c r="E113" s="112">
        <v>0</v>
      </c>
      <c r="F113" s="112">
        <v>2.1</v>
      </c>
      <c r="G113" s="112">
        <v>0</v>
      </c>
      <c r="H113" s="112">
        <v>0</v>
      </c>
      <c r="I113" s="114">
        <v>0</v>
      </c>
      <c r="J113" s="112">
        <v>0</v>
      </c>
      <c r="K113" s="112">
        <v>0</v>
      </c>
    </row>
    <row r="114" spans="1:11" s="101" customFormat="1" ht="15" customHeight="1">
      <c r="A114" s="113" t="s">
        <v>120</v>
      </c>
      <c r="B114" s="112">
        <v>45</v>
      </c>
      <c r="C114" s="112">
        <v>0</v>
      </c>
      <c r="D114" s="112">
        <v>40.9</v>
      </c>
      <c r="E114" s="112">
        <v>0</v>
      </c>
      <c r="F114" s="112">
        <v>10.3</v>
      </c>
      <c r="G114" s="112">
        <v>25.6</v>
      </c>
      <c r="H114" s="112">
        <v>4.9000000000000004</v>
      </c>
      <c r="I114" s="112">
        <v>4</v>
      </c>
      <c r="J114" s="112">
        <v>0</v>
      </c>
      <c r="K114" s="112">
        <v>0</v>
      </c>
    </row>
    <row r="115" spans="1:11" s="101" customFormat="1" ht="15" customHeight="1">
      <c r="A115" s="113" t="s">
        <v>121</v>
      </c>
      <c r="B115" s="112">
        <v>210.6</v>
      </c>
      <c r="C115" s="112">
        <v>0</v>
      </c>
      <c r="D115" s="112">
        <v>187</v>
      </c>
      <c r="E115" s="112">
        <v>113.1</v>
      </c>
      <c r="F115" s="112">
        <v>36.6</v>
      </c>
      <c r="G115" s="112">
        <v>35.9</v>
      </c>
      <c r="H115" s="112">
        <v>1.4</v>
      </c>
      <c r="I115" s="112">
        <v>23.6</v>
      </c>
      <c r="J115" s="112">
        <v>0</v>
      </c>
      <c r="K115" s="112">
        <v>0</v>
      </c>
    </row>
    <row r="116" spans="1:11" s="101" customFormat="1" ht="15" customHeight="1">
      <c r="A116" s="113" t="s">
        <v>122</v>
      </c>
      <c r="B116" s="112">
        <v>88.4</v>
      </c>
      <c r="C116" s="112">
        <v>0</v>
      </c>
      <c r="D116" s="112">
        <v>0</v>
      </c>
      <c r="E116" s="112">
        <v>0</v>
      </c>
      <c r="F116" s="112">
        <v>0</v>
      </c>
      <c r="G116" s="112">
        <v>0</v>
      </c>
      <c r="H116" s="112">
        <v>0</v>
      </c>
      <c r="I116" s="112">
        <v>0</v>
      </c>
      <c r="J116" s="112">
        <v>88.4</v>
      </c>
      <c r="K116" s="112">
        <v>0</v>
      </c>
    </row>
    <row r="117" spans="1:11" s="101" customFormat="1" ht="15" customHeight="1">
      <c r="A117" s="111" t="s">
        <v>123</v>
      </c>
      <c r="B117" s="112">
        <v>167</v>
      </c>
      <c r="C117" s="112">
        <v>0</v>
      </c>
      <c r="D117" s="112">
        <v>0</v>
      </c>
      <c r="E117" s="112">
        <v>0</v>
      </c>
      <c r="F117" s="112">
        <v>0</v>
      </c>
      <c r="G117" s="112">
        <v>0</v>
      </c>
      <c r="H117" s="112">
        <v>0</v>
      </c>
      <c r="I117" s="112">
        <v>0</v>
      </c>
      <c r="J117" s="112">
        <v>0</v>
      </c>
      <c r="K117" s="112">
        <v>167</v>
      </c>
    </row>
    <row r="118" spans="1:11" s="101" customFormat="1" ht="15" customHeight="1">
      <c r="A118" s="113" t="s">
        <v>124</v>
      </c>
      <c r="B118" s="112">
        <v>47.3</v>
      </c>
      <c r="C118" s="112">
        <v>0</v>
      </c>
      <c r="D118" s="112">
        <v>0</v>
      </c>
      <c r="E118" s="112">
        <v>0</v>
      </c>
      <c r="F118" s="112">
        <v>0</v>
      </c>
      <c r="G118" s="112">
        <v>0</v>
      </c>
      <c r="H118" s="112">
        <v>0</v>
      </c>
      <c r="I118" s="112">
        <v>0</v>
      </c>
      <c r="J118" s="112">
        <v>0</v>
      </c>
      <c r="K118" s="112">
        <v>47.3</v>
      </c>
    </row>
    <row r="119" spans="1:11" s="101" customFormat="1" ht="15" customHeight="1">
      <c r="A119" s="113" t="s">
        <v>125</v>
      </c>
      <c r="B119" s="112">
        <v>119.7</v>
      </c>
      <c r="C119" s="112">
        <v>0</v>
      </c>
      <c r="D119" s="112">
        <v>0</v>
      </c>
      <c r="E119" s="112">
        <v>0</v>
      </c>
      <c r="F119" s="112">
        <v>0</v>
      </c>
      <c r="G119" s="112">
        <v>0</v>
      </c>
      <c r="H119" s="112">
        <v>0</v>
      </c>
      <c r="I119" s="112">
        <v>0</v>
      </c>
      <c r="J119" s="112">
        <v>0</v>
      </c>
      <c r="K119" s="112">
        <v>119.7</v>
      </c>
    </row>
    <row r="120" spans="1:11" s="101" customFormat="1" ht="15" customHeight="1">
      <c r="A120" s="103" t="s">
        <v>132</v>
      </c>
      <c r="B120" s="104" t="s">
        <v>24</v>
      </c>
      <c r="C120" s="105"/>
      <c r="D120" s="105"/>
      <c r="E120" s="105"/>
      <c r="F120" s="106"/>
      <c r="G120" s="105"/>
      <c r="H120" s="105"/>
      <c r="I120" s="105"/>
      <c r="J120" s="105"/>
      <c r="K120" s="105"/>
    </row>
    <row r="121" spans="1:11" s="101" customFormat="1" ht="15" customHeight="1">
      <c r="A121" s="103" t="s">
        <v>25</v>
      </c>
      <c r="B121" s="108">
        <v>3465.9</v>
      </c>
      <c r="C121" s="108">
        <v>374.5</v>
      </c>
      <c r="D121" s="108">
        <v>2506.1</v>
      </c>
      <c r="E121" s="108">
        <v>1091.0999999999999</v>
      </c>
      <c r="F121" s="108">
        <v>704.7</v>
      </c>
      <c r="G121" s="108">
        <v>578.20000000000005</v>
      </c>
      <c r="H121" s="108">
        <v>132.1</v>
      </c>
      <c r="I121" s="108">
        <v>311.7</v>
      </c>
      <c r="J121" s="108">
        <v>92.1</v>
      </c>
      <c r="K121" s="108">
        <v>181.5</v>
      </c>
    </row>
    <row r="122" spans="1:11" s="101" customFormat="1" ht="15" customHeight="1">
      <c r="A122" s="111" t="s">
        <v>106</v>
      </c>
      <c r="B122" s="121">
        <v>3284.4</v>
      </c>
      <c r="C122" s="121">
        <v>374.5</v>
      </c>
      <c r="D122" s="121">
        <v>2506.1</v>
      </c>
      <c r="E122" s="121">
        <v>1091.0999999999999</v>
      </c>
      <c r="F122" s="121">
        <v>704.7</v>
      </c>
      <c r="G122" s="121">
        <v>578.20000000000005</v>
      </c>
      <c r="H122" s="121">
        <v>132.1</v>
      </c>
      <c r="I122" s="121">
        <v>311.7</v>
      </c>
      <c r="J122" s="121">
        <v>92.1</v>
      </c>
      <c r="K122" s="121">
        <v>0</v>
      </c>
    </row>
    <row r="123" spans="1:11" s="101" customFormat="1" ht="15" customHeight="1">
      <c r="A123" s="113" t="s">
        <v>107</v>
      </c>
      <c r="B123" s="121">
        <v>2928.3</v>
      </c>
      <c r="C123" s="121">
        <v>374.5</v>
      </c>
      <c r="D123" s="121">
        <v>2269.9022126</v>
      </c>
      <c r="E123" s="121">
        <v>967.51521041000001</v>
      </c>
      <c r="F123" s="121">
        <v>658.9</v>
      </c>
      <c r="G123" s="121">
        <v>518.1</v>
      </c>
      <c r="H123" s="121">
        <v>125.4</v>
      </c>
      <c r="I123" s="121">
        <v>283.89999999999998</v>
      </c>
      <c r="J123" s="121">
        <v>0</v>
      </c>
      <c r="K123" s="121">
        <v>0</v>
      </c>
    </row>
    <row r="124" spans="1:11" s="101" customFormat="1" ht="15" customHeight="1">
      <c r="A124" s="113" t="s">
        <v>108</v>
      </c>
      <c r="B124" s="121">
        <v>1077.5999999999999</v>
      </c>
      <c r="C124" s="121">
        <v>31.8</v>
      </c>
      <c r="D124" s="121">
        <v>938.7</v>
      </c>
      <c r="E124" s="121">
        <v>389.5</v>
      </c>
      <c r="F124" s="121">
        <v>286.39999999999998</v>
      </c>
      <c r="G124" s="121">
        <v>193.1</v>
      </c>
      <c r="H124" s="121">
        <v>69.8</v>
      </c>
      <c r="I124" s="121">
        <v>107</v>
      </c>
      <c r="J124" s="121">
        <v>0</v>
      </c>
      <c r="K124" s="121">
        <v>0</v>
      </c>
    </row>
    <row r="125" spans="1:11" s="101" customFormat="1" ht="15" customHeight="1">
      <c r="A125" s="113" t="s">
        <v>109</v>
      </c>
      <c r="B125" s="121">
        <v>937.4</v>
      </c>
      <c r="C125" s="121">
        <v>136.19999999999999</v>
      </c>
      <c r="D125" s="121">
        <v>697.9</v>
      </c>
      <c r="E125" s="121">
        <v>378.2</v>
      </c>
      <c r="F125" s="121">
        <v>188.2</v>
      </c>
      <c r="G125" s="121">
        <v>95.5</v>
      </c>
      <c r="H125" s="121">
        <v>36</v>
      </c>
      <c r="I125" s="121">
        <v>103.3</v>
      </c>
      <c r="J125" s="121">
        <v>0</v>
      </c>
      <c r="K125" s="121">
        <v>0</v>
      </c>
    </row>
    <row r="126" spans="1:11" s="101" customFormat="1" ht="15" customHeight="1">
      <c r="A126" s="113" t="s">
        <v>110</v>
      </c>
      <c r="B126" s="121">
        <v>709.6</v>
      </c>
      <c r="C126" s="121">
        <v>58.1</v>
      </c>
      <c r="D126" s="121">
        <v>561.6</v>
      </c>
      <c r="E126" s="121">
        <v>290.2</v>
      </c>
      <c r="F126" s="121">
        <v>164.1</v>
      </c>
      <c r="G126" s="121">
        <v>75.599999999999994</v>
      </c>
      <c r="H126" s="121">
        <v>31.8</v>
      </c>
      <c r="I126" s="121">
        <v>89.8</v>
      </c>
      <c r="J126" s="121">
        <v>0</v>
      </c>
      <c r="K126" s="121">
        <v>0</v>
      </c>
    </row>
    <row r="127" spans="1:11" s="101" customFormat="1" ht="15" customHeight="1">
      <c r="A127" s="113" t="s">
        <v>111</v>
      </c>
      <c r="B127" s="121">
        <v>96.7</v>
      </c>
      <c r="C127" s="121">
        <v>23.5</v>
      </c>
      <c r="D127" s="121">
        <v>61.2</v>
      </c>
      <c r="E127" s="121">
        <v>30.5</v>
      </c>
      <c r="F127" s="121">
        <v>23.2</v>
      </c>
      <c r="G127" s="121">
        <v>7.1</v>
      </c>
      <c r="H127" s="121">
        <v>0.4</v>
      </c>
      <c r="I127" s="121">
        <v>11.9</v>
      </c>
      <c r="J127" s="121">
        <v>0</v>
      </c>
      <c r="K127" s="121">
        <v>0</v>
      </c>
    </row>
    <row r="128" spans="1:11" s="101" customFormat="1" ht="15" customHeight="1">
      <c r="A128" s="113" t="s">
        <v>112</v>
      </c>
      <c r="B128" s="121">
        <v>131.1</v>
      </c>
      <c r="C128" s="121">
        <v>54.5</v>
      </c>
      <c r="D128" s="121">
        <v>75</v>
      </c>
      <c r="E128" s="121">
        <v>57.5</v>
      </c>
      <c r="F128" s="121">
        <v>0.9</v>
      </c>
      <c r="G128" s="121">
        <v>12.9</v>
      </c>
      <c r="H128" s="121">
        <v>3.8</v>
      </c>
      <c r="I128" s="121">
        <v>1.6</v>
      </c>
      <c r="J128" s="121">
        <v>0</v>
      </c>
      <c r="K128" s="121">
        <v>0</v>
      </c>
    </row>
    <row r="129" spans="1:22" s="101" customFormat="1" ht="15" customHeight="1">
      <c r="A129" s="113" t="s">
        <v>113</v>
      </c>
      <c r="B129" s="121">
        <v>185.7</v>
      </c>
      <c r="C129" s="121">
        <v>5.9</v>
      </c>
      <c r="D129" s="121">
        <v>127.6</v>
      </c>
      <c r="E129" s="121">
        <v>12.8</v>
      </c>
      <c r="F129" s="121">
        <v>4.9000000000000004</v>
      </c>
      <c r="G129" s="121">
        <v>107.4</v>
      </c>
      <c r="H129" s="121">
        <v>2.5</v>
      </c>
      <c r="I129" s="121">
        <v>52.2</v>
      </c>
      <c r="J129" s="121">
        <v>0</v>
      </c>
      <c r="K129" s="121">
        <v>0</v>
      </c>
    </row>
    <row r="130" spans="1:22" s="101" customFormat="1" ht="15" customHeight="1">
      <c r="A130" s="113" t="s">
        <v>114</v>
      </c>
      <c r="B130" s="121">
        <v>99.9</v>
      </c>
      <c r="C130" s="121">
        <v>10.6</v>
      </c>
      <c r="D130" s="121">
        <v>86.4</v>
      </c>
      <c r="E130" s="121">
        <v>13.2</v>
      </c>
      <c r="F130" s="121">
        <v>38.5</v>
      </c>
      <c r="G130" s="121">
        <v>34</v>
      </c>
      <c r="H130" s="121">
        <v>0.7</v>
      </c>
      <c r="I130" s="121">
        <v>2.9</v>
      </c>
      <c r="J130" s="121">
        <v>0</v>
      </c>
      <c r="K130" s="121">
        <v>0</v>
      </c>
    </row>
    <row r="131" spans="1:22" s="101" customFormat="1" ht="15" customHeight="1">
      <c r="A131" s="113" t="s">
        <v>115</v>
      </c>
      <c r="B131" s="121">
        <v>163.4</v>
      </c>
      <c r="C131" s="121">
        <v>42</v>
      </c>
      <c r="D131" s="121">
        <v>108.4</v>
      </c>
      <c r="E131" s="121">
        <v>15.5</v>
      </c>
      <c r="F131" s="121">
        <v>37.4</v>
      </c>
      <c r="G131" s="121">
        <v>50.2</v>
      </c>
      <c r="H131" s="121">
        <v>5.4</v>
      </c>
      <c r="I131" s="121">
        <v>13</v>
      </c>
      <c r="J131" s="121">
        <v>0</v>
      </c>
      <c r="K131" s="121">
        <v>0</v>
      </c>
    </row>
    <row r="132" spans="1:22" s="101" customFormat="1" ht="15" customHeight="1">
      <c r="A132" s="113" t="s">
        <v>116</v>
      </c>
      <c r="B132" s="121">
        <v>464.3</v>
      </c>
      <c r="C132" s="121">
        <v>148</v>
      </c>
      <c r="D132" s="121">
        <v>310.89999999999998</v>
      </c>
      <c r="E132" s="121">
        <v>158.5</v>
      </c>
      <c r="F132" s="121">
        <v>103.6</v>
      </c>
      <c r="G132" s="121">
        <v>37.9</v>
      </c>
      <c r="H132" s="121">
        <v>11</v>
      </c>
      <c r="I132" s="121">
        <v>5.4</v>
      </c>
      <c r="J132" s="121">
        <v>0</v>
      </c>
      <c r="K132" s="121">
        <v>0</v>
      </c>
    </row>
    <row r="133" spans="1:22" s="101" customFormat="1" ht="15" customHeight="1">
      <c r="A133" s="113" t="s">
        <v>117</v>
      </c>
      <c r="B133" s="121">
        <v>337.1</v>
      </c>
      <c r="C133" s="121">
        <v>51</v>
      </c>
      <c r="D133" s="121">
        <v>281.8</v>
      </c>
      <c r="E133" s="121">
        <v>147.4</v>
      </c>
      <c r="F133" s="121">
        <v>93.5</v>
      </c>
      <c r="G133" s="121">
        <v>30</v>
      </c>
      <c r="H133" s="121">
        <v>10.8</v>
      </c>
      <c r="I133" s="121">
        <v>4.3</v>
      </c>
      <c r="J133" s="121">
        <v>0</v>
      </c>
      <c r="K133" s="121">
        <v>0</v>
      </c>
    </row>
    <row r="134" spans="1:22" s="101" customFormat="1" ht="15" customHeight="1">
      <c r="A134" s="113" t="s">
        <v>118</v>
      </c>
      <c r="B134" s="121">
        <v>52.4</v>
      </c>
      <c r="C134" s="121">
        <v>24.1</v>
      </c>
      <c r="D134" s="121">
        <v>27.2</v>
      </c>
      <c r="E134" s="121">
        <v>11.1</v>
      </c>
      <c r="F134" s="121">
        <v>8.1</v>
      </c>
      <c r="G134" s="121">
        <v>7.8</v>
      </c>
      <c r="H134" s="121">
        <v>0.2</v>
      </c>
      <c r="I134" s="121">
        <v>1.1000000000000001</v>
      </c>
      <c r="J134" s="121">
        <v>0</v>
      </c>
      <c r="K134" s="121">
        <v>0</v>
      </c>
    </row>
    <row r="135" spans="1:22" s="101" customFormat="1" ht="15" customHeight="1">
      <c r="A135" s="113" t="s">
        <v>119</v>
      </c>
      <c r="B135" s="121">
        <v>74.900000000000006</v>
      </c>
      <c r="C135" s="121">
        <v>72.900000000000006</v>
      </c>
      <c r="D135" s="121">
        <v>2</v>
      </c>
      <c r="E135" s="121">
        <v>0</v>
      </c>
      <c r="F135" s="121">
        <v>2</v>
      </c>
      <c r="G135" s="121">
        <v>0</v>
      </c>
      <c r="H135" s="121">
        <v>0</v>
      </c>
      <c r="I135" s="122">
        <v>0</v>
      </c>
      <c r="J135" s="121">
        <v>0</v>
      </c>
      <c r="K135" s="121">
        <v>0</v>
      </c>
    </row>
    <row r="136" spans="1:22" s="101" customFormat="1" ht="15" customHeight="1">
      <c r="A136" s="113" t="s">
        <v>120</v>
      </c>
      <c r="B136" s="121">
        <v>45</v>
      </c>
      <c r="C136" s="121">
        <v>0</v>
      </c>
      <c r="D136" s="121">
        <v>42.1</v>
      </c>
      <c r="E136" s="121">
        <v>0</v>
      </c>
      <c r="F136" s="121">
        <v>9.6999999999999993</v>
      </c>
      <c r="G136" s="121">
        <v>27</v>
      </c>
      <c r="H136" s="121">
        <v>5.2</v>
      </c>
      <c r="I136" s="121">
        <v>2.9</v>
      </c>
      <c r="J136" s="121">
        <v>0</v>
      </c>
      <c r="K136" s="121">
        <v>0</v>
      </c>
    </row>
    <row r="137" spans="1:22" s="101" customFormat="1" ht="15" customHeight="1">
      <c r="A137" s="113" t="s">
        <v>121</v>
      </c>
      <c r="B137" s="121">
        <v>219.1</v>
      </c>
      <c r="C137" s="121">
        <v>0</v>
      </c>
      <c r="D137" s="121">
        <v>194.2</v>
      </c>
      <c r="E137" s="121">
        <v>123.6</v>
      </c>
      <c r="F137" s="121">
        <v>36.1</v>
      </c>
      <c r="G137" s="121">
        <v>33.1</v>
      </c>
      <c r="H137" s="121">
        <v>1.3</v>
      </c>
      <c r="I137" s="121">
        <v>24.9</v>
      </c>
      <c r="J137" s="121">
        <v>0</v>
      </c>
      <c r="K137" s="121">
        <v>0</v>
      </c>
    </row>
    <row r="138" spans="1:22" s="101" customFormat="1" ht="15" customHeight="1">
      <c r="A138" s="113" t="s">
        <v>122</v>
      </c>
      <c r="B138" s="121">
        <v>92.1</v>
      </c>
      <c r="C138" s="121">
        <v>0</v>
      </c>
      <c r="D138" s="121">
        <v>0</v>
      </c>
      <c r="E138" s="121">
        <v>0</v>
      </c>
      <c r="F138" s="121">
        <v>0</v>
      </c>
      <c r="G138" s="121">
        <v>0</v>
      </c>
      <c r="H138" s="121">
        <v>0</v>
      </c>
      <c r="I138" s="121">
        <v>0</v>
      </c>
      <c r="J138" s="121">
        <v>92.1</v>
      </c>
      <c r="K138" s="121">
        <v>0</v>
      </c>
    </row>
    <row r="139" spans="1:22" s="101" customFormat="1" ht="15" customHeight="1">
      <c r="A139" s="111" t="s">
        <v>123</v>
      </c>
      <c r="B139" s="121">
        <v>181.5</v>
      </c>
      <c r="C139" s="121">
        <v>0</v>
      </c>
      <c r="D139" s="121">
        <v>0</v>
      </c>
      <c r="E139" s="121">
        <v>0</v>
      </c>
      <c r="F139" s="121">
        <v>0</v>
      </c>
      <c r="G139" s="121">
        <v>0</v>
      </c>
      <c r="H139" s="121">
        <v>0</v>
      </c>
      <c r="I139" s="121">
        <v>0</v>
      </c>
      <c r="J139" s="121">
        <v>0</v>
      </c>
      <c r="K139" s="121">
        <v>181.5</v>
      </c>
    </row>
    <row r="140" spans="1:22" s="101" customFormat="1" ht="15" customHeight="1">
      <c r="A140" s="113" t="s">
        <v>124</v>
      </c>
      <c r="B140" s="121">
        <v>50.3</v>
      </c>
      <c r="C140" s="121">
        <v>0</v>
      </c>
      <c r="D140" s="121">
        <v>0</v>
      </c>
      <c r="E140" s="121">
        <v>0</v>
      </c>
      <c r="F140" s="121">
        <v>0</v>
      </c>
      <c r="G140" s="121">
        <v>0</v>
      </c>
      <c r="H140" s="121">
        <v>0</v>
      </c>
      <c r="I140" s="121">
        <v>0</v>
      </c>
      <c r="J140" s="121">
        <v>0</v>
      </c>
      <c r="K140" s="121">
        <v>50.3</v>
      </c>
    </row>
    <row r="141" spans="1:22" s="101" customFormat="1" ht="15" customHeight="1" thickBot="1">
      <c r="A141" s="115" t="s">
        <v>125</v>
      </c>
      <c r="B141" s="116">
        <v>131.19999999999999</v>
      </c>
      <c r="C141" s="116">
        <v>0</v>
      </c>
      <c r="D141" s="116">
        <v>0</v>
      </c>
      <c r="E141" s="116">
        <v>0</v>
      </c>
      <c r="F141" s="116">
        <v>0</v>
      </c>
      <c r="G141" s="116">
        <v>0</v>
      </c>
      <c r="H141" s="116">
        <v>0</v>
      </c>
      <c r="I141" s="116">
        <v>0</v>
      </c>
      <c r="J141" s="116">
        <v>0</v>
      </c>
      <c r="K141" s="116">
        <v>131.19999999999999</v>
      </c>
    </row>
    <row r="142" spans="1:22" ht="30.65" customHeight="1" thickBot="1">
      <c r="A142" s="89" t="s">
        <v>133</v>
      </c>
      <c r="B142" s="89"/>
      <c r="C142" s="89"/>
      <c r="D142" s="89"/>
      <c r="E142" s="89"/>
      <c r="F142" s="89"/>
      <c r="G142" s="89"/>
      <c r="H142" s="89"/>
      <c r="I142" s="89"/>
      <c r="J142" s="89"/>
      <c r="K142" s="89"/>
    </row>
    <row r="143" spans="1:22" s="101" customFormat="1" ht="14.5" customHeight="1" thickBot="1">
      <c r="A143" s="123" t="s">
        <v>47</v>
      </c>
      <c r="B143" s="123" t="s">
        <v>47</v>
      </c>
      <c r="C143" s="123" t="s">
        <v>47</v>
      </c>
      <c r="D143" s="117" t="s">
        <v>96</v>
      </c>
      <c r="E143" s="118"/>
      <c r="F143" s="118"/>
      <c r="G143" s="117"/>
      <c r="H143" s="118"/>
      <c r="I143" s="124"/>
      <c r="J143" s="124"/>
      <c r="K143" s="124"/>
    </row>
    <row r="144" spans="1:22" s="101" customFormat="1" ht="36.75" customHeight="1" thickBot="1">
      <c r="A144" s="99" t="s">
        <v>97</v>
      </c>
      <c r="B144" s="99" t="s">
        <v>98</v>
      </c>
      <c r="C144" s="99" t="s">
        <v>99</v>
      </c>
      <c r="D144" s="99" t="s">
        <v>96</v>
      </c>
      <c r="E144" s="100" t="s">
        <v>100</v>
      </c>
      <c r="F144" s="99" t="s">
        <v>101</v>
      </c>
      <c r="G144" s="99" t="s">
        <v>102</v>
      </c>
      <c r="H144" s="99" t="s">
        <v>103</v>
      </c>
      <c r="I144" s="99" t="s">
        <v>104</v>
      </c>
      <c r="J144" s="99" t="s">
        <v>13</v>
      </c>
      <c r="K144" s="99" t="s">
        <v>71</v>
      </c>
      <c r="V144" s="102"/>
    </row>
    <row r="145" spans="1:69" s="101" customFormat="1" ht="15" customHeight="1">
      <c r="A145" s="103" t="s">
        <v>134</v>
      </c>
      <c r="B145" s="104" t="s">
        <v>24</v>
      </c>
      <c r="C145" s="105"/>
      <c r="D145" s="105"/>
      <c r="E145" s="105"/>
      <c r="F145" s="106"/>
      <c r="G145" s="105"/>
      <c r="H145" s="105"/>
      <c r="I145" s="105"/>
      <c r="J145" s="105"/>
      <c r="K145" s="105"/>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row>
    <row r="146" spans="1:69" s="101" customFormat="1" ht="15" customHeight="1">
      <c r="A146" s="103" t="s">
        <v>25</v>
      </c>
      <c r="B146" s="108">
        <v>3629.7</v>
      </c>
      <c r="C146" s="108">
        <v>388.8</v>
      </c>
      <c r="D146" s="108">
        <v>2633.8</v>
      </c>
      <c r="E146" s="108">
        <v>1152.2</v>
      </c>
      <c r="F146" s="108">
        <v>749.1</v>
      </c>
      <c r="G146" s="108">
        <v>596</v>
      </c>
      <c r="H146" s="108">
        <v>136.5</v>
      </c>
      <c r="I146" s="108">
        <v>322.5</v>
      </c>
      <c r="J146" s="108">
        <v>94.5</v>
      </c>
      <c r="K146" s="108">
        <v>190.2</v>
      </c>
    </row>
    <row r="147" spans="1:69" s="101" customFormat="1" ht="15" customHeight="1">
      <c r="A147" s="111" t="s">
        <v>106</v>
      </c>
      <c r="B147" s="112">
        <v>3439.5</v>
      </c>
      <c r="C147" s="112">
        <v>388.8</v>
      </c>
      <c r="D147" s="112">
        <v>2633.8</v>
      </c>
      <c r="E147" s="112">
        <v>1152.2</v>
      </c>
      <c r="F147" s="112">
        <v>749.1</v>
      </c>
      <c r="G147" s="112">
        <v>596</v>
      </c>
      <c r="H147" s="112">
        <v>136.5</v>
      </c>
      <c r="I147" s="112">
        <v>322.5</v>
      </c>
      <c r="J147" s="112">
        <v>94.5</v>
      </c>
      <c r="K147" s="112">
        <v>0</v>
      </c>
    </row>
    <row r="148" spans="1:69" s="101" customFormat="1" ht="15" customHeight="1">
      <c r="A148" s="113" t="s">
        <v>107</v>
      </c>
      <c r="B148" s="112">
        <v>3048.3</v>
      </c>
      <c r="C148" s="112">
        <v>388.8</v>
      </c>
      <c r="D148" s="112">
        <v>2367.4106783000002</v>
      </c>
      <c r="E148" s="112">
        <v>1009.9337082</v>
      </c>
      <c r="F148" s="112">
        <v>696.2</v>
      </c>
      <c r="G148" s="112">
        <v>531.29999999999995</v>
      </c>
      <c r="H148" s="112">
        <v>130</v>
      </c>
      <c r="I148" s="112">
        <v>292.10000000000002</v>
      </c>
      <c r="J148" s="112">
        <v>0</v>
      </c>
      <c r="K148" s="112">
        <v>0</v>
      </c>
    </row>
    <row r="149" spans="1:69" s="101" customFormat="1" ht="15" customHeight="1">
      <c r="A149" s="113" t="s">
        <v>108</v>
      </c>
      <c r="B149" s="112">
        <v>1122.5</v>
      </c>
      <c r="C149" s="112">
        <v>33.299999999999997</v>
      </c>
      <c r="D149" s="112">
        <v>978.7</v>
      </c>
      <c r="E149" s="112">
        <v>409.6</v>
      </c>
      <c r="F149" s="112">
        <v>300.10000000000002</v>
      </c>
      <c r="G149" s="112">
        <v>198.2</v>
      </c>
      <c r="H149" s="112">
        <v>70.8</v>
      </c>
      <c r="I149" s="112">
        <v>110.5</v>
      </c>
      <c r="J149" s="112">
        <v>0</v>
      </c>
      <c r="K149" s="112">
        <v>0</v>
      </c>
    </row>
    <row r="150" spans="1:69" s="101" customFormat="1" ht="15" customHeight="1">
      <c r="A150" s="113" t="s">
        <v>109</v>
      </c>
      <c r="B150" s="112">
        <v>979.4</v>
      </c>
      <c r="C150" s="112">
        <v>141.69999999999999</v>
      </c>
      <c r="D150" s="112">
        <v>732.1</v>
      </c>
      <c r="E150" s="112">
        <v>388.9</v>
      </c>
      <c r="F150" s="112">
        <v>204.9</v>
      </c>
      <c r="G150" s="112">
        <v>99.4</v>
      </c>
      <c r="H150" s="112">
        <v>39</v>
      </c>
      <c r="I150" s="112">
        <v>105.6</v>
      </c>
      <c r="J150" s="112">
        <v>0</v>
      </c>
      <c r="K150" s="112">
        <v>0</v>
      </c>
    </row>
    <row r="151" spans="1:69" s="101" customFormat="1" ht="15" customHeight="1">
      <c r="A151" s="113" t="s">
        <v>110</v>
      </c>
      <c r="B151" s="112">
        <v>738.2</v>
      </c>
      <c r="C151" s="112">
        <v>59.8</v>
      </c>
      <c r="D151" s="112">
        <v>587.20000000000005</v>
      </c>
      <c r="E151" s="112">
        <v>295.7</v>
      </c>
      <c r="F151" s="112">
        <v>178</v>
      </c>
      <c r="G151" s="112">
        <v>78.7</v>
      </c>
      <c r="H151" s="112">
        <v>34.6</v>
      </c>
      <c r="I151" s="112">
        <v>91.2</v>
      </c>
      <c r="J151" s="112">
        <v>0</v>
      </c>
      <c r="K151" s="112">
        <v>0</v>
      </c>
    </row>
    <row r="152" spans="1:69" s="101" customFormat="1" ht="15" customHeight="1">
      <c r="A152" s="113" t="s">
        <v>111</v>
      </c>
      <c r="B152" s="112">
        <v>103.9</v>
      </c>
      <c r="C152" s="112">
        <v>25.3</v>
      </c>
      <c r="D152" s="112">
        <v>65.900000000000006</v>
      </c>
      <c r="E152" s="112">
        <v>32.5</v>
      </c>
      <c r="F152" s="112">
        <v>25.6</v>
      </c>
      <c r="G152" s="112">
        <v>7.4</v>
      </c>
      <c r="H152" s="112">
        <v>0.4</v>
      </c>
      <c r="I152" s="112">
        <v>12.7</v>
      </c>
      <c r="J152" s="112">
        <v>0</v>
      </c>
      <c r="K152" s="112">
        <v>0</v>
      </c>
    </row>
    <row r="153" spans="1:69" s="101" customFormat="1" ht="15" customHeight="1">
      <c r="A153" s="113" t="s">
        <v>112</v>
      </c>
      <c r="B153" s="112">
        <v>137.4</v>
      </c>
      <c r="C153" s="112">
        <v>56.6</v>
      </c>
      <c r="D153" s="112">
        <v>79.099999999999994</v>
      </c>
      <c r="E153" s="112">
        <v>60.6</v>
      </c>
      <c r="F153" s="112">
        <v>1.2</v>
      </c>
      <c r="G153" s="112">
        <v>13.3</v>
      </c>
      <c r="H153" s="112">
        <v>4</v>
      </c>
      <c r="I153" s="112">
        <v>1.7</v>
      </c>
      <c r="J153" s="112">
        <v>0</v>
      </c>
      <c r="K153" s="112">
        <v>0</v>
      </c>
    </row>
    <row r="154" spans="1:69" s="101" customFormat="1" ht="15" customHeight="1">
      <c r="A154" s="113" t="s">
        <v>113</v>
      </c>
      <c r="B154" s="112">
        <v>191.3</v>
      </c>
      <c r="C154" s="112">
        <v>6.2</v>
      </c>
      <c r="D154" s="112">
        <v>130.80000000000001</v>
      </c>
      <c r="E154" s="112">
        <v>13</v>
      </c>
      <c r="F154" s="112">
        <v>4.9000000000000004</v>
      </c>
      <c r="G154" s="112">
        <v>110.2</v>
      </c>
      <c r="H154" s="112">
        <v>2.7</v>
      </c>
      <c r="I154" s="112">
        <v>54.4</v>
      </c>
      <c r="J154" s="112">
        <v>0</v>
      </c>
      <c r="K154" s="112">
        <v>0</v>
      </c>
    </row>
    <row r="155" spans="1:69" s="101" customFormat="1" ht="14.15" customHeight="1">
      <c r="A155" s="113" t="s">
        <v>114</v>
      </c>
      <c r="B155" s="112">
        <v>105.4</v>
      </c>
      <c r="C155" s="112">
        <v>11.8</v>
      </c>
      <c r="D155" s="112">
        <v>90.6</v>
      </c>
      <c r="E155" s="112">
        <v>14.6</v>
      </c>
      <c r="F155" s="112">
        <v>40.5</v>
      </c>
      <c r="G155" s="112">
        <v>34.799999999999997</v>
      </c>
      <c r="H155" s="112">
        <v>0.8</v>
      </c>
      <c r="I155" s="112">
        <v>3</v>
      </c>
      <c r="J155" s="112">
        <v>0</v>
      </c>
      <c r="K155" s="112">
        <v>0</v>
      </c>
    </row>
    <row r="156" spans="1:69" s="101" customFormat="1" ht="14.15" customHeight="1">
      <c r="A156" s="113" t="s">
        <v>115</v>
      </c>
      <c r="B156" s="112">
        <v>167.2</v>
      </c>
      <c r="C156" s="112">
        <v>43.8</v>
      </c>
      <c r="D156" s="112">
        <v>110.2</v>
      </c>
      <c r="E156" s="112">
        <v>16.600000000000001</v>
      </c>
      <c r="F156" s="112">
        <v>37.6</v>
      </c>
      <c r="G156" s="112">
        <v>50.3</v>
      </c>
      <c r="H156" s="112">
        <v>5.7</v>
      </c>
      <c r="I156" s="112">
        <v>13.1</v>
      </c>
      <c r="J156" s="112">
        <v>0</v>
      </c>
      <c r="K156" s="112">
        <v>0</v>
      </c>
    </row>
    <row r="157" spans="1:69" s="101" customFormat="1" ht="14.15" customHeight="1">
      <c r="A157" s="113" t="s">
        <v>116</v>
      </c>
      <c r="B157" s="112">
        <v>482.4</v>
      </c>
      <c r="C157" s="112">
        <v>152</v>
      </c>
      <c r="D157" s="112">
        <v>324.89999999999998</v>
      </c>
      <c r="E157" s="112">
        <v>167.2</v>
      </c>
      <c r="F157" s="112">
        <v>108.2</v>
      </c>
      <c r="G157" s="112">
        <v>38.5</v>
      </c>
      <c r="H157" s="112">
        <v>11.1</v>
      </c>
      <c r="I157" s="112">
        <v>5.5</v>
      </c>
      <c r="J157" s="112">
        <v>0</v>
      </c>
      <c r="K157" s="112">
        <v>0</v>
      </c>
    </row>
    <row r="158" spans="1:69" s="101" customFormat="1" ht="14.15" customHeight="1">
      <c r="A158" s="113" t="s">
        <v>117</v>
      </c>
      <c r="B158" s="112">
        <v>349.8</v>
      </c>
      <c r="C158" s="112">
        <v>51.9</v>
      </c>
      <c r="D158" s="112">
        <v>293.60000000000002</v>
      </c>
      <c r="E158" s="112">
        <v>155.1</v>
      </c>
      <c r="F158" s="112">
        <v>97.2</v>
      </c>
      <c r="G158" s="112">
        <v>30.4</v>
      </c>
      <c r="H158" s="112">
        <v>10.9</v>
      </c>
      <c r="I158" s="112">
        <v>4.3</v>
      </c>
      <c r="J158" s="112">
        <v>0</v>
      </c>
      <c r="K158" s="112">
        <v>0</v>
      </c>
    </row>
    <row r="159" spans="1:69" s="101" customFormat="1" ht="14.15" customHeight="1">
      <c r="A159" s="113" t="s">
        <v>118</v>
      </c>
      <c r="B159" s="112">
        <v>54.8</v>
      </c>
      <c r="C159" s="112">
        <v>24.4</v>
      </c>
      <c r="D159" s="112">
        <v>29.3</v>
      </c>
      <c r="E159" s="112">
        <v>12.2</v>
      </c>
      <c r="F159" s="112">
        <v>8.9</v>
      </c>
      <c r="G159" s="112">
        <v>8</v>
      </c>
      <c r="H159" s="112">
        <v>0.2</v>
      </c>
      <c r="I159" s="112">
        <v>1.1000000000000001</v>
      </c>
      <c r="J159" s="112">
        <v>0</v>
      </c>
      <c r="K159" s="112">
        <v>0</v>
      </c>
    </row>
    <row r="160" spans="1:69" s="101" customFormat="1" ht="14.15" customHeight="1">
      <c r="A160" s="113" t="s">
        <v>119</v>
      </c>
      <c r="B160" s="112">
        <v>77.7</v>
      </c>
      <c r="C160" s="112">
        <v>75.599999999999994</v>
      </c>
      <c r="D160" s="112">
        <v>2.1</v>
      </c>
      <c r="E160" s="112">
        <v>0</v>
      </c>
      <c r="F160" s="112">
        <v>2.1</v>
      </c>
      <c r="G160" s="112">
        <v>0</v>
      </c>
      <c r="H160" s="112">
        <v>0</v>
      </c>
      <c r="I160" s="114">
        <v>0</v>
      </c>
      <c r="J160" s="112">
        <v>0</v>
      </c>
      <c r="K160" s="112">
        <v>0</v>
      </c>
    </row>
    <row r="161" spans="1:11" s="101" customFormat="1" ht="14.15" customHeight="1">
      <c r="A161" s="113" t="s">
        <v>120</v>
      </c>
      <c r="B161" s="112">
        <v>47.3</v>
      </c>
      <c r="C161" s="121">
        <v>0</v>
      </c>
      <c r="D161" s="112">
        <v>44.3</v>
      </c>
      <c r="E161" s="112">
        <v>0</v>
      </c>
      <c r="F161" s="112">
        <v>11.6</v>
      </c>
      <c r="G161" s="112">
        <v>27.6</v>
      </c>
      <c r="H161" s="112">
        <v>5</v>
      </c>
      <c r="I161" s="112">
        <v>3</v>
      </c>
      <c r="J161" s="112">
        <v>0</v>
      </c>
      <c r="K161" s="112">
        <v>0</v>
      </c>
    </row>
    <row r="162" spans="1:11" s="101" customFormat="1" ht="14.15" customHeight="1">
      <c r="A162" s="113" t="s">
        <v>121</v>
      </c>
      <c r="B162" s="112">
        <v>249.5</v>
      </c>
      <c r="C162" s="121">
        <v>0</v>
      </c>
      <c r="D162" s="112">
        <v>222</v>
      </c>
      <c r="E162" s="112">
        <v>142.19999999999999</v>
      </c>
      <c r="F162" s="112">
        <v>41.4</v>
      </c>
      <c r="G162" s="112">
        <v>37.1</v>
      </c>
      <c r="H162" s="112">
        <v>1.4</v>
      </c>
      <c r="I162" s="112">
        <v>27.5</v>
      </c>
      <c r="J162" s="112">
        <v>0</v>
      </c>
      <c r="K162" s="112">
        <v>0</v>
      </c>
    </row>
    <row r="163" spans="1:11" s="101" customFormat="1" ht="14.15" customHeight="1">
      <c r="A163" s="113" t="s">
        <v>122</v>
      </c>
      <c r="B163" s="112">
        <v>94.5</v>
      </c>
      <c r="C163" s="121">
        <v>0</v>
      </c>
      <c r="D163" s="112">
        <v>0</v>
      </c>
      <c r="E163" s="112">
        <v>0</v>
      </c>
      <c r="F163" s="112">
        <v>0</v>
      </c>
      <c r="G163" s="112">
        <v>0</v>
      </c>
      <c r="H163" s="112">
        <v>0</v>
      </c>
      <c r="I163" s="112">
        <v>0</v>
      </c>
      <c r="J163" s="112">
        <v>94.5</v>
      </c>
      <c r="K163" s="112">
        <v>0</v>
      </c>
    </row>
    <row r="164" spans="1:11" s="101" customFormat="1" ht="14.15" customHeight="1">
      <c r="A164" s="111" t="s">
        <v>123</v>
      </c>
      <c r="B164" s="112">
        <v>190.2</v>
      </c>
      <c r="C164" s="121">
        <v>0</v>
      </c>
      <c r="D164" s="112">
        <v>0</v>
      </c>
      <c r="E164" s="112">
        <v>0</v>
      </c>
      <c r="F164" s="112">
        <v>0</v>
      </c>
      <c r="G164" s="112">
        <v>0</v>
      </c>
      <c r="H164" s="112">
        <v>0</v>
      </c>
      <c r="I164" s="112">
        <v>0</v>
      </c>
      <c r="J164" s="112">
        <v>0</v>
      </c>
      <c r="K164" s="112">
        <v>190.2</v>
      </c>
    </row>
    <row r="165" spans="1:11" s="101" customFormat="1" ht="14.15" customHeight="1">
      <c r="A165" s="113" t="s">
        <v>124</v>
      </c>
      <c r="B165" s="112">
        <v>53.6</v>
      </c>
      <c r="C165" s="121">
        <v>0</v>
      </c>
      <c r="D165" s="112">
        <v>0</v>
      </c>
      <c r="E165" s="112">
        <v>0</v>
      </c>
      <c r="F165" s="112">
        <v>0</v>
      </c>
      <c r="G165" s="112">
        <v>0</v>
      </c>
      <c r="H165" s="112">
        <v>0</v>
      </c>
      <c r="I165" s="112">
        <v>0</v>
      </c>
      <c r="J165" s="112">
        <v>0</v>
      </c>
      <c r="K165" s="112">
        <v>53.6</v>
      </c>
    </row>
    <row r="166" spans="1:11" s="101" customFormat="1" ht="15" customHeight="1">
      <c r="A166" s="113" t="s">
        <v>125</v>
      </c>
      <c r="B166" s="112">
        <v>136.6</v>
      </c>
      <c r="C166" s="112">
        <v>0</v>
      </c>
      <c r="D166" s="112">
        <v>0</v>
      </c>
      <c r="E166" s="112">
        <v>0</v>
      </c>
      <c r="F166" s="112">
        <v>0</v>
      </c>
      <c r="G166" s="112">
        <v>0</v>
      </c>
      <c r="H166" s="112">
        <v>0</v>
      </c>
      <c r="I166" s="112">
        <v>0</v>
      </c>
      <c r="J166" s="112">
        <v>0</v>
      </c>
      <c r="K166" s="112">
        <v>136.6</v>
      </c>
    </row>
    <row r="167" spans="1:11" s="101" customFormat="1" ht="15" customHeight="1">
      <c r="A167" s="103" t="s">
        <v>135</v>
      </c>
      <c r="B167" s="104" t="s">
        <v>24</v>
      </c>
      <c r="C167" s="105"/>
      <c r="D167" s="105"/>
      <c r="E167" s="105"/>
      <c r="F167" s="106"/>
      <c r="G167" s="105"/>
      <c r="H167" s="105"/>
      <c r="I167" s="105"/>
      <c r="J167" s="105"/>
      <c r="K167" s="105"/>
    </row>
    <row r="168" spans="1:11" s="101" customFormat="1" ht="15" customHeight="1">
      <c r="A168" s="103" t="s">
        <v>25</v>
      </c>
      <c r="B168" s="108">
        <v>3795.4</v>
      </c>
      <c r="C168" s="108">
        <v>406.5</v>
      </c>
      <c r="D168" s="108">
        <v>2752.8</v>
      </c>
      <c r="E168" s="108">
        <v>1195.0999999999999</v>
      </c>
      <c r="F168" s="108">
        <v>799.4</v>
      </c>
      <c r="G168" s="108">
        <v>613.5</v>
      </c>
      <c r="H168" s="108">
        <v>144.80000000000001</v>
      </c>
      <c r="I168" s="108">
        <v>336.6</v>
      </c>
      <c r="J168" s="108">
        <v>97.8</v>
      </c>
      <c r="K168" s="108">
        <v>201.7</v>
      </c>
    </row>
    <row r="169" spans="1:11" s="101" customFormat="1" ht="15" customHeight="1">
      <c r="A169" s="111" t="s">
        <v>106</v>
      </c>
      <c r="B169" s="121">
        <v>3593.7</v>
      </c>
      <c r="C169" s="121">
        <v>406.5</v>
      </c>
      <c r="D169" s="121">
        <v>2752.8</v>
      </c>
      <c r="E169" s="121">
        <v>1195.0999999999999</v>
      </c>
      <c r="F169" s="121">
        <v>799.4</v>
      </c>
      <c r="G169" s="121">
        <v>613.5</v>
      </c>
      <c r="H169" s="121">
        <v>144.80000000000001</v>
      </c>
      <c r="I169" s="121">
        <v>336.6</v>
      </c>
      <c r="J169" s="121">
        <v>97.8</v>
      </c>
      <c r="K169" s="121">
        <v>0</v>
      </c>
    </row>
    <row r="170" spans="1:11" s="101" customFormat="1" ht="15" customHeight="1">
      <c r="A170" s="113" t="s">
        <v>107</v>
      </c>
      <c r="B170" s="121">
        <v>3207</v>
      </c>
      <c r="C170" s="121">
        <v>406.5</v>
      </c>
      <c r="D170" s="121">
        <v>2494.3217387999998</v>
      </c>
      <c r="E170" s="121">
        <v>1064.1121290000001</v>
      </c>
      <c r="F170" s="121">
        <v>742.6</v>
      </c>
      <c r="G170" s="121">
        <v>549.6</v>
      </c>
      <c r="H170" s="121">
        <v>137.9</v>
      </c>
      <c r="I170" s="121">
        <v>306.2</v>
      </c>
      <c r="J170" s="121">
        <v>0</v>
      </c>
      <c r="K170" s="121">
        <v>0</v>
      </c>
    </row>
    <row r="171" spans="1:11" s="101" customFormat="1" ht="15" customHeight="1">
      <c r="A171" s="113" t="s">
        <v>108</v>
      </c>
      <c r="B171" s="121">
        <v>1192</v>
      </c>
      <c r="C171" s="121">
        <v>35.9</v>
      </c>
      <c r="D171" s="121">
        <v>1034.9000000000001</v>
      </c>
      <c r="E171" s="121">
        <v>438.1</v>
      </c>
      <c r="F171" s="121">
        <v>315.8</v>
      </c>
      <c r="G171" s="121">
        <v>206.6</v>
      </c>
      <c r="H171" s="121">
        <v>74.400000000000006</v>
      </c>
      <c r="I171" s="121">
        <v>121.1</v>
      </c>
      <c r="J171" s="121">
        <v>0</v>
      </c>
      <c r="K171" s="121">
        <v>0</v>
      </c>
    </row>
    <row r="172" spans="1:11" s="101" customFormat="1" ht="15" customHeight="1">
      <c r="A172" s="113" t="s">
        <v>109</v>
      </c>
      <c r="B172" s="121">
        <v>1025.9000000000001</v>
      </c>
      <c r="C172" s="121">
        <v>147.30000000000001</v>
      </c>
      <c r="D172" s="121">
        <v>771.5</v>
      </c>
      <c r="E172" s="121">
        <v>401</v>
      </c>
      <c r="F172" s="121">
        <v>223.3</v>
      </c>
      <c r="G172" s="121">
        <v>104.7</v>
      </c>
      <c r="H172" s="121">
        <v>42.5</v>
      </c>
      <c r="I172" s="121">
        <v>107.1</v>
      </c>
      <c r="J172" s="121">
        <v>0</v>
      </c>
      <c r="K172" s="121">
        <v>0</v>
      </c>
    </row>
    <row r="173" spans="1:11" s="101" customFormat="1" ht="15" customHeight="1">
      <c r="A173" s="113" t="s">
        <v>110</v>
      </c>
      <c r="B173" s="121">
        <v>772.1</v>
      </c>
      <c r="C173" s="121">
        <v>60.6</v>
      </c>
      <c r="D173" s="121">
        <v>619.29999999999995</v>
      </c>
      <c r="E173" s="121">
        <v>305</v>
      </c>
      <c r="F173" s="121">
        <v>193</v>
      </c>
      <c r="G173" s="121">
        <v>83.3</v>
      </c>
      <c r="H173" s="121">
        <v>38.1</v>
      </c>
      <c r="I173" s="121">
        <v>92.1</v>
      </c>
      <c r="J173" s="121">
        <v>0</v>
      </c>
      <c r="K173" s="121">
        <v>0</v>
      </c>
    </row>
    <row r="174" spans="1:11" s="101" customFormat="1" ht="15" customHeight="1">
      <c r="A174" s="113" t="s">
        <v>111</v>
      </c>
      <c r="B174" s="121">
        <v>110.6</v>
      </c>
      <c r="C174" s="121">
        <v>26.7</v>
      </c>
      <c r="D174" s="121">
        <v>70.7</v>
      </c>
      <c r="E174" s="121">
        <v>34.200000000000003</v>
      </c>
      <c r="F174" s="121">
        <v>28.4</v>
      </c>
      <c r="G174" s="121">
        <v>7.7</v>
      </c>
      <c r="H174" s="121">
        <v>0.4</v>
      </c>
      <c r="I174" s="121">
        <v>13.2</v>
      </c>
      <c r="J174" s="121">
        <v>0</v>
      </c>
      <c r="K174" s="121">
        <v>0</v>
      </c>
    </row>
    <row r="175" spans="1:11" s="101" customFormat="1" ht="15" customHeight="1">
      <c r="A175" s="113" t="s">
        <v>112</v>
      </c>
      <c r="B175" s="121">
        <v>143.19999999999999</v>
      </c>
      <c r="C175" s="121">
        <v>60</v>
      </c>
      <c r="D175" s="121">
        <v>81.400000000000006</v>
      </c>
      <c r="E175" s="121">
        <v>61.8</v>
      </c>
      <c r="F175" s="121">
        <v>1.9</v>
      </c>
      <c r="G175" s="121">
        <v>13.7</v>
      </c>
      <c r="H175" s="121">
        <v>4</v>
      </c>
      <c r="I175" s="121">
        <v>1.7</v>
      </c>
      <c r="J175" s="121">
        <v>0</v>
      </c>
      <c r="K175" s="121">
        <v>0</v>
      </c>
    </row>
    <row r="176" spans="1:11" s="101" customFormat="1" ht="15" customHeight="1">
      <c r="A176" s="113" t="s">
        <v>113</v>
      </c>
      <c r="B176" s="121">
        <v>193.6</v>
      </c>
      <c r="C176" s="121">
        <v>6</v>
      </c>
      <c r="D176" s="121">
        <v>132.5</v>
      </c>
      <c r="E176" s="121">
        <v>13.4</v>
      </c>
      <c r="F176" s="121">
        <v>4.8</v>
      </c>
      <c r="G176" s="121">
        <v>111.3</v>
      </c>
      <c r="H176" s="121">
        <v>2.9</v>
      </c>
      <c r="I176" s="121">
        <v>55.1</v>
      </c>
      <c r="J176" s="121">
        <v>0</v>
      </c>
      <c r="K176" s="121">
        <v>0</v>
      </c>
    </row>
    <row r="177" spans="1:11" s="101" customFormat="1" ht="15" customHeight="1">
      <c r="A177" s="113" t="s">
        <v>114</v>
      </c>
      <c r="B177" s="121">
        <v>113.5</v>
      </c>
      <c r="C177" s="121">
        <v>12.5</v>
      </c>
      <c r="D177" s="121">
        <v>97.8</v>
      </c>
      <c r="E177" s="121">
        <v>16.600000000000001</v>
      </c>
      <c r="F177" s="121">
        <v>44</v>
      </c>
      <c r="G177" s="121">
        <v>36.299999999999997</v>
      </c>
      <c r="H177" s="121">
        <v>0.9</v>
      </c>
      <c r="I177" s="121">
        <v>3.3</v>
      </c>
      <c r="J177" s="121">
        <v>0</v>
      </c>
      <c r="K177" s="121">
        <v>0</v>
      </c>
    </row>
    <row r="178" spans="1:11" s="101" customFormat="1" ht="15" customHeight="1">
      <c r="A178" s="113" t="s">
        <v>115</v>
      </c>
      <c r="B178" s="121">
        <v>172.7</v>
      </c>
      <c r="C178" s="121">
        <v>45.6</v>
      </c>
      <c r="D178" s="121">
        <v>113</v>
      </c>
      <c r="E178" s="121">
        <v>18</v>
      </c>
      <c r="F178" s="121">
        <v>38.200000000000003</v>
      </c>
      <c r="G178" s="121">
        <v>50.8</v>
      </c>
      <c r="H178" s="121">
        <v>6</v>
      </c>
      <c r="I178" s="121">
        <v>14.1</v>
      </c>
      <c r="J178" s="121">
        <v>0</v>
      </c>
      <c r="K178" s="121">
        <v>0</v>
      </c>
    </row>
    <row r="179" spans="1:11" s="101" customFormat="1" ht="15" customHeight="1">
      <c r="A179" s="113" t="s">
        <v>116</v>
      </c>
      <c r="B179" s="121">
        <v>509.3</v>
      </c>
      <c r="C179" s="121">
        <v>159.19999999999999</v>
      </c>
      <c r="D179" s="121">
        <v>344.7</v>
      </c>
      <c r="E179" s="121">
        <v>177.1</v>
      </c>
      <c r="F179" s="121">
        <v>116.6</v>
      </c>
      <c r="G179" s="121">
        <v>39.9</v>
      </c>
      <c r="H179" s="121">
        <v>11.2</v>
      </c>
      <c r="I179" s="121">
        <v>5.5</v>
      </c>
      <c r="J179" s="121">
        <v>0</v>
      </c>
      <c r="K179" s="121">
        <v>0</v>
      </c>
    </row>
    <row r="180" spans="1:11" s="101" customFormat="1" ht="15" customHeight="1">
      <c r="A180" s="113" t="s">
        <v>117</v>
      </c>
      <c r="B180" s="121">
        <v>369.7</v>
      </c>
      <c r="C180" s="121">
        <v>53.7</v>
      </c>
      <c r="D180" s="121">
        <v>311.7</v>
      </c>
      <c r="E180" s="121">
        <v>164.6</v>
      </c>
      <c r="F180" s="121">
        <v>104.6</v>
      </c>
      <c r="G180" s="121">
        <v>31.4</v>
      </c>
      <c r="H180" s="121">
        <v>11</v>
      </c>
      <c r="I180" s="121">
        <v>4.3</v>
      </c>
      <c r="J180" s="121">
        <v>0</v>
      </c>
      <c r="K180" s="121">
        <v>0</v>
      </c>
    </row>
    <row r="181" spans="1:11" s="101" customFormat="1" ht="15" customHeight="1">
      <c r="A181" s="113" t="s">
        <v>118</v>
      </c>
      <c r="B181" s="121">
        <v>57.6</v>
      </c>
      <c r="C181" s="121">
        <v>25.6</v>
      </c>
      <c r="D181" s="121">
        <v>30.8</v>
      </c>
      <c r="E181" s="121">
        <v>12.4</v>
      </c>
      <c r="F181" s="121">
        <v>9.8000000000000007</v>
      </c>
      <c r="G181" s="121">
        <v>8.5</v>
      </c>
      <c r="H181" s="121">
        <v>0.2</v>
      </c>
      <c r="I181" s="121">
        <v>1.2</v>
      </c>
      <c r="J181" s="121">
        <v>0</v>
      </c>
      <c r="K181" s="121">
        <v>0</v>
      </c>
    </row>
    <row r="182" spans="1:11" s="101" customFormat="1" ht="15" customHeight="1">
      <c r="A182" s="113" t="s">
        <v>119</v>
      </c>
      <c r="B182" s="121">
        <v>82.1</v>
      </c>
      <c r="C182" s="121">
        <v>79.900000000000006</v>
      </c>
      <c r="D182" s="121">
        <v>2.2000000000000002</v>
      </c>
      <c r="E182" s="121">
        <v>0</v>
      </c>
      <c r="F182" s="121">
        <v>2.2000000000000002</v>
      </c>
      <c r="G182" s="121">
        <v>0</v>
      </c>
      <c r="H182" s="121">
        <v>0</v>
      </c>
      <c r="I182" s="122">
        <v>0</v>
      </c>
      <c r="J182" s="121">
        <v>0</v>
      </c>
      <c r="K182" s="121">
        <v>0</v>
      </c>
    </row>
    <row r="183" spans="1:11" s="101" customFormat="1" ht="15" customHeight="1">
      <c r="A183" s="113" t="s">
        <v>120</v>
      </c>
      <c r="B183" s="121">
        <v>48.9</v>
      </c>
      <c r="C183" s="121">
        <v>0</v>
      </c>
      <c r="D183" s="121">
        <v>46</v>
      </c>
      <c r="E183" s="121">
        <v>0</v>
      </c>
      <c r="F183" s="121">
        <v>12.1</v>
      </c>
      <c r="G183" s="121">
        <v>28.4</v>
      </c>
      <c r="H183" s="121">
        <v>5.3</v>
      </c>
      <c r="I183" s="121">
        <v>3</v>
      </c>
      <c r="J183" s="121">
        <v>0</v>
      </c>
      <c r="K183" s="121">
        <v>0</v>
      </c>
    </row>
    <row r="184" spans="1:11" s="101" customFormat="1" ht="15" customHeight="1">
      <c r="A184" s="113" t="s">
        <v>121</v>
      </c>
      <c r="B184" s="121">
        <v>239.9</v>
      </c>
      <c r="C184" s="121">
        <v>0</v>
      </c>
      <c r="D184" s="121">
        <v>212.5</v>
      </c>
      <c r="E184" s="121">
        <v>131</v>
      </c>
      <c r="F184" s="121">
        <v>44.6</v>
      </c>
      <c r="G184" s="121">
        <v>35.4</v>
      </c>
      <c r="H184" s="121">
        <v>1.5</v>
      </c>
      <c r="I184" s="121">
        <v>27.4</v>
      </c>
      <c r="J184" s="121">
        <v>0</v>
      </c>
      <c r="K184" s="121">
        <v>0</v>
      </c>
    </row>
    <row r="185" spans="1:11" s="101" customFormat="1" ht="15" customHeight="1">
      <c r="A185" s="113" t="s">
        <v>122</v>
      </c>
      <c r="B185" s="121">
        <v>97.8</v>
      </c>
      <c r="C185" s="121">
        <v>0</v>
      </c>
      <c r="D185" s="121">
        <v>0</v>
      </c>
      <c r="E185" s="121">
        <v>0</v>
      </c>
      <c r="F185" s="121">
        <v>0</v>
      </c>
      <c r="G185" s="121">
        <v>0</v>
      </c>
      <c r="H185" s="121">
        <v>0</v>
      </c>
      <c r="I185" s="121">
        <v>0</v>
      </c>
      <c r="J185" s="121">
        <v>97.8</v>
      </c>
      <c r="K185" s="121">
        <v>0</v>
      </c>
    </row>
    <row r="186" spans="1:11" s="101" customFormat="1" ht="15" customHeight="1">
      <c r="A186" s="111" t="s">
        <v>123</v>
      </c>
      <c r="B186" s="121">
        <v>201.7</v>
      </c>
      <c r="C186" s="121">
        <v>0</v>
      </c>
      <c r="D186" s="121">
        <v>0</v>
      </c>
      <c r="E186" s="121">
        <v>0</v>
      </c>
      <c r="F186" s="121">
        <v>0</v>
      </c>
      <c r="G186" s="121">
        <v>0</v>
      </c>
      <c r="H186" s="121">
        <v>0</v>
      </c>
      <c r="I186" s="121">
        <v>0</v>
      </c>
      <c r="J186" s="121">
        <v>0</v>
      </c>
      <c r="K186" s="121">
        <v>201.7</v>
      </c>
    </row>
    <row r="187" spans="1:11" s="101" customFormat="1" ht="15" customHeight="1">
      <c r="A187" s="113" t="s">
        <v>124</v>
      </c>
      <c r="B187" s="121">
        <v>56.6</v>
      </c>
      <c r="C187" s="121">
        <v>0</v>
      </c>
      <c r="D187" s="121">
        <v>0</v>
      </c>
      <c r="E187" s="121">
        <v>0</v>
      </c>
      <c r="F187" s="121">
        <v>0</v>
      </c>
      <c r="G187" s="121">
        <v>0</v>
      </c>
      <c r="H187" s="121">
        <v>0</v>
      </c>
      <c r="I187" s="121">
        <v>0</v>
      </c>
      <c r="J187" s="121">
        <v>0</v>
      </c>
      <c r="K187" s="121">
        <v>56.6</v>
      </c>
    </row>
    <row r="188" spans="1:11" s="101" customFormat="1" ht="14.15" customHeight="1" thickBot="1">
      <c r="A188" s="115" t="s">
        <v>125</v>
      </c>
      <c r="B188" s="116">
        <v>145.1</v>
      </c>
      <c r="C188" s="116">
        <v>0</v>
      </c>
      <c r="D188" s="116">
        <v>0</v>
      </c>
      <c r="E188" s="116">
        <v>0</v>
      </c>
      <c r="F188" s="116">
        <v>0</v>
      </c>
      <c r="G188" s="116">
        <v>0</v>
      </c>
      <c r="H188" s="116">
        <v>0</v>
      </c>
      <c r="I188" s="116">
        <v>0</v>
      </c>
      <c r="J188" s="116">
        <v>0</v>
      </c>
      <c r="K188" s="116">
        <v>145.1</v>
      </c>
    </row>
    <row r="189" spans="1:11" s="101" customFormat="1" ht="10.5">
      <c r="A189" s="125" t="s">
        <v>136</v>
      </c>
      <c r="B189" s="125"/>
      <c r="C189" s="125"/>
      <c r="D189" s="125"/>
      <c r="E189" s="125"/>
      <c r="F189" s="125"/>
      <c r="G189" s="125"/>
      <c r="H189" s="126"/>
      <c r="I189" s="126"/>
      <c r="J189" s="126"/>
      <c r="K189" s="126"/>
    </row>
    <row r="190" spans="1:11" s="101" customFormat="1" ht="11">
      <c r="A190" s="125" t="s">
        <v>137</v>
      </c>
      <c r="B190" s="523"/>
      <c r="C190" s="523"/>
      <c r="D190" s="523"/>
      <c r="E190" s="523"/>
      <c r="F190" s="523"/>
      <c r="G190" s="523"/>
      <c r="H190" s="126"/>
      <c r="I190" s="126"/>
      <c r="J190" s="126"/>
      <c r="K190" s="126"/>
    </row>
    <row r="191" spans="1:11">
      <c r="A191" s="125" t="s">
        <v>138</v>
      </c>
      <c r="B191" s="523"/>
      <c r="C191" s="523"/>
      <c r="D191" s="523"/>
      <c r="E191" s="523"/>
      <c r="F191" s="523"/>
      <c r="G191" s="523"/>
      <c r="H191" s="125"/>
      <c r="I191" s="125"/>
      <c r="J191" s="125"/>
      <c r="K191" s="125"/>
    </row>
    <row r="192" spans="1:11">
      <c r="A192" s="125" t="s">
        <v>139</v>
      </c>
      <c r="B192" s="125"/>
      <c r="C192" s="125"/>
      <c r="D192" s="125"/>
      <c r="E192" s="125"/>
      <c r="F192" s="125"/>
      <c r="G192" s="125"/>
      <c r="H192" s="125"/>
      <c r="I192" s="125"/>
      <c r="J192" s="125"/>
      <c r="K192" s="125"/>
    </row>
    <row r="193" spans="1:11">
      <c r="A193" s="113" t="s">
        <v>140</v>
      </c>
      <c r="B193" s="524"/>
      <c r="C193" s="524"/>
      <c r="D193" s="524"/>
      <c r="E193" s="524"/>
      <c r="F193" s="524"/>
      <c r="G193" s="524"/>
      <c r="H193" s="92"/>
      <c r="I193" s="92"/>
      <c r="J193" s="92"/>
      <c r="K193" s="92"/>
    </row>
    <row r="194" spans="1:11">
      <c r="A194" s="125" t="s">
        <v>141</v>
      </c>
      <c r="B194" s="523"/>
      <c r="C194" s="523"/>
      <c r="D194" s="523"/>
      <c r="E194" s="523"/>
      <c r="F194" s="523"/>
      <c r="G194" s="523"/>
      <c r="H194" s="125"/>
      <c r="I194" s="125"/>
      <c r="J194" s="125"/>
      <c r="K194" s="125"/>
    </row>
    <row r="195" spans="1:11">
      <c r="A195" s="125" t="s">
        <v>142</v>
      </c>
      <c r="B195" s="523"/>
      <c r="C195" s="523"/>
      <c r="D195" s="523"/>
      <c r="E195" s="523"/>
      <c r="F195" s="523"/>
      <c r="G195" s="523"/>
      <c r="H195" s="125"/>
      <c r="I195" s="125"/>
      <c r="J195" s="125"/>
      <c r="K195" s="125"/>
    </row>
    <row r="196" spans="1:11">
      <c r="A196" s="125" t="s">
        <v>143</v>
      </c>
      <c r="B196" s="523"/>
      <c r="C196" s="523"/>
      <c r="D196" s="523"/>
      <c r="E196" s="523"/>
      <c r="F196" s="523"/>
      <c r="G196" s="523"/>
      <c r="H196" s="125"/>
      <c r="I196" s="125"/>
      <c r="J196" s="125"/>
      <c r="K196" s="125"/>
    </row>
    <row r="197" spans="1:11">
      <c r="A197" s="127" t="s">
        <v>144</v>
      </c>
      <c r="B197" s="523"/>
      <c r="C197" s="523"/>
      <c r="D197" s="523"/>
      <c r="E197" s="523"/>
      <c r="F197" s="523"/>
      <c r="G197" s="523"/>
      <c r="H197" s="127"/>
      <c r="I197" s="127"/>
      <c r="J197" s="127"/>
      <c r="K197" s="127"/>
    </row>
    <row r="198" spans="1:11">
      <c r="A198" s="125" t="s">
        <v>145</v>
      </c>
      <c r="B198" s="125"/>
      <c r="C198" s="125"/>
      <c r="D198" s="125"/>
      <c r="E198" s="125"/>
      <c r="F198" s="125"/>
      <c r="G198" s="125"/>
      <c r="H198" s="125"/>
      <c r="I198" s="125"/>
      <c r="J198" s="125"/>
      <c r="K198" s="125"/>
    </row>
    <row r="199" spans="1:11">
      <c r="A199" s="125"/>
      <c r="B199" s="125"/>
      <c r="C199" s="125"/>
      <c r="D199" s="125"/>
      <c r="E199" s="125"/>
      <c r="F199" s="125"/>
      <c r="G199" s="125"/>
      <c r="H199" s="125"/>
      <c r="I199" s="125"/>
      <c r="J199" s="125"/>
      <c r="K199" s="125"/>
    </row>
  </sheetData>
  <pageMargins left="0.7" right="0.2" top="0.46" bottom="0.42" header="0.25" footer="0.3"/>
  <pageSetup scale="70" orientation="landscape" r:id="rId1"/>
  <rowBreaks count="4" manualBreakCount="4">
    <brk id="47" max="10" man="1"/>
    <brk id="94" max="10" man="1"/>
    <brk id="141" max="10" man="1"/>
    <brk id="18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99"/>
  <sheetViews>
    <sheetView zoomScale="120" zoomScaleNormal="120" workbookViewId="0">
      <pane xSplit="1" ySplit="3" topLeftCell="B88" activePane="bottomRight" state="frozen"/>
      <selection activeCell="D7" sqref="D7"/>
      <selection pane="topRight" activeCell="D7" sqref="D7"/>
      <selection pane="bottomLeft" activeCell="D7" sqref="D7"/>
      <selection pane="bottomRight" activeCell="A103" sqref="A103"/>
    </sheetView>
  </sheetViews>
  <sheetFormatPr defaultColWidth="3" defaultRowHeight="12.5"/>
  <cols>
    <col min="1" max="1" width="50.453125" style="20" customWidth="1"/>
    <col min="2" max="2" width="5" style="20" customWidth="1"/>
    <col min="3" max="3" width="5.1796875" style="20" customWidth="1"/>
    <col min="4" max="4" width="5.81640625" style="20" customWidth="1"/>
    <col min="5" max="5" width="6.453125" style="20" customWidth="1"/>
    <col min="6" max="25" width="7.26953125" style="20" customWidth="1"/>
    <col min="26" max="16384" width="3" style="20"/>
  </cols>
  <sheetData>
    <row r="1" spans="1:25" ht="27.65" customHeight="1">
      <c r="A1" s="18" t="s">
        <v>22</v>
      </c>
      <c r="B1" s="18"/>
      <c r="C1" s="18"/>
      <c r="D1" s="18"/>
      <c r="E1" s="18"/>
      <c r="F1" s="18"/>
      <c r="G1" s="18"/>
      <c r="H1" s="18"/>
      <c r="I1" s="18"/>
      <c r="J1" s="18"/>
      <c r="K1" s="18"/>
      <c r="L1" s="18"/>
      <c r="M1" s="18"/>
      <c r="N1" s="18"/>
      <c r="O1" s="18"/>
      <c r="P1" s="18"/>
      <c r="Q1" s="18"/>
      <c r="R1" s="18"/>
      <c r="S1" s="18"/>
      <c r="T1" s="18"/>
      <c r="U1" s="19"/>
      <c r="V1" s="19"/>
      <c r="W1" s="19"/>
      <c r="X1" s="19"/>
      <c r="Y1" s="19"/>
    </row>
    <row r="2" spans="1:25" ht="12" customHeight="1">
      <c r="A2" s="21" t="s">
        <v>23</v>
      </c>
      <c r="B2" s="22">
        <v>1960</v>
      </c>
      <c r="C2" s="22">
        <v>1970</v>
      </c>
      <c r="D2" s="22">
        <v>1980</v>
      </c>
      <c r="E2" s="22">
        <v>1990</v>
      </c>
      <c r="F2" s="22">
        <v>2000</v>
      </c>
      <c r="G2" s="22">
        <v>2001</v>
      </c>
      <c r="H2" s="22">
        <v>2002</v>
      </c>
      <c r="I2" s="22">
        <v>2003</v>
      </c>
      <c r="J2" s="22">
        <v>2004</v>
      </c>
      <c r="K2" s="22">
        <v>2005</v>
      </c>
      <c r="L2" s="22">
        <v>2006</v>
      </c>
      <c r="M2" s="22">
        <v>2007</v>
      </c>
      <c r="N2" s="22">
        <v>2008</v>
      </c>
      <c r="O2" s="22">
        <v>2009</v>
      </c>
      <c r="P2" s="23">
        <v>2010</v>
      </c>
      <c r="Q2" s="23">
        <v>2011</v>
      </c>
      <c r="R2" s="23">
        <v>2012</v>
      </c>
      <c r="S2" s="23">
        <v>2013</v>
      </c>
      <c r="T2" s="23">
        <v>2014</v>
      </c>
      <c r="U2" s="23">
        <v>2015</v>
      </c>
      <c r="V2" s="23">
        <v>2016</v>
      </c>
      <c r="W2" s="23">
        <v>2017</v>
      </c>
      <c r="X2" s="23">
        <v>2018</v>
      </c>
      <c r="Y2" s="23">
        <v>2019</v>
      </c>
    </row>
    <row r="3" spans="1:25" ht="12" customHeight="1">
      <c r="A3" s="24"/>
      <c r="B3" s="25" t="s">
        <v>24</v>
      </c>
      <c r="C3" s="26"/>
      <c r="D3" s="26"/>
      <c r="E3" s="26"/>
      <c r="F3" s="27"/>
      <c r="G3" s="26"/>
      <c r="H3" s="19"/>
      <c r="I3" s="26"/>
      <c r="J3" s="26"/>
      <c r="K3" s="26"/>
      <c r="L3" s="26"/>
      <c r="M3" s="27"/>
      <c r="N3" s="28"/>
      <c r="O3" s="27"/>
      <c r="P3" s="27"/>
      <c r="Q3" s="27"/>
      <c r="R3" s="27"/>
      <c r="S3" s="27"/>
      <c r="T3" s="27"/>
      <c r="U3" s="27"/>
      <c r="V3" s="27"/>
      <c r="W3" s="27"/>
      <c r="X3" s="27"/>
      <c r="Y3" s="27"/>
    </row>
    <row r="4" spans="1:25" ht="11.5" customHeight="1">
      <c r="A4" s="29" t="s">
        <v>25</v>
      </c>
      <c r="B4" s="30">
        <v>27.1</v>
      </c>
      <c r="C4" s="30">
        <v>74.099999999999994</v>
      </c>
      <c r="D4" s="30">
        <v>253.2</v>
      </c>
      <c r="E4" s="30">
        <v>718.8</v>
      </c>
      <c r="F4" s="30">
        <v>1365.6</v>
      </c>
      <c r="G4" s="30">
        <v>1482.9</v>
      </c>
      <c r="H4" s="30">
        <v>1630.6</v>
      </c>
      <c r="I4" s="30">
        <v>1769.8</v>
      </c>
      <c r="J4" s="30">
        <v>1899.5</v>
      </c>
      <c r="K4" s="30">
        <v>2029.5</v>
      </c>
      <c r="L4" s="30">
        <v>2166.3000000000002</v>
      </c>
      <c r="M4" s="30">
        <v>2305.1</v>
      </c>
      <c r="N4" s="30">
        <v>2402.5</v>
      </c>
      <c r="O4" s="30">
        <v>2492.8000000000002</v>
      </c>
      <c r="P4" s="30">
        <v>2589.6999999999998</v>
      </c>
      <c r="Q4" s="30">
        <v>2676.4</v>
      </c>
      <c r="R4" s="30">
        <v>2783.1</v>
      </c>
      <c r="S4" s="30">
        <v>2859.5</v>
      </c>
      <c r="T4" s="30">
        <v>3008.3</v>
      </c>
      <c r="U4" s="30">
        <v>3177.7</v>
      </c>
      <c r="V4" s="30">
        <v>3324.5</v>
      </c>
      <c r="W4" s="30">
        <v>3465.9</v>
      </c>
      <c r="X4" s="30">
        <v>3629.7</v>
      </c>
      <c r="Y4" s="30">
        <v>3795.4</v>
      </c>
    </row>
    <row r="5" spans="1:25" ht="11.5" customHeight="1">
      <c r="A5" s="29" t="s">
        <v>26</v>
      </c>
      <c r="B5" s="31">
        <v>24.6</v>
      </c>
      <c r="C5" s="31">
        <v>66.3</v>
      </c>
      <c r="D5" s="31">
        <v>232.7</v>
      </c>
      <c r="E5" s="31">
        <v>670.2</v>
      </c>
      <c r="F5" s="31">
        <v>1279.9000000000001</v>
      </c>
      <c r="G5" s="31">
        <v>1393</v>
      </c>
      <c r="H5" s="31">
        <v>1529.1</v>
      </c>
      <c r="I5" s="31">
        <v>1661.3</v>
      </c>
      <c r="J5" s="31">
        <v>1782.6</v>
      </c>
      <c r="K5" s="31">
        <v>1904</v>
      </c>
      <c r="L5" s="31">
        <v>2033.3</v>
      </c>
      <c r="M5" s="31">
        <v>2158.9</v>
      </c>
      <c r="N5" s="31">
        <v>2246.1999999999998</v>
      </c>
      <c r="O5" s="31">
        <v>2345.6</v>
      </c>
      <c r="P5" s="31">
        <v>2437.6</v>
      </c>
      <c r="Q5" s="31">
        <v>2517.6999999999998</v>
      </c>
      <c r="R5" s="31">
        <v>2619.9</v>
      </c>
      <c r="S5" s="31">
        <v>2696.4</v>
      </c>
      <c r="T5" s="31">
        <v>2848.7</v>
      </c>
      <c r="U5" s="31">
        <v>3013.7</v>
      </c>
      <c r="V5" s="31">
        <v>3157.5</v>
      </c>
      <c r="W5" s="31">
        <v>3284.4</v>
      </c>
      <c r="X5" s="31">
        <v>3439.5</v>
      </c>
      <c r="Y5" s="31">
        <v>3593.7</v>
      </c>
    </row>
    <row r="6" spans="1:25" ht="11.5" customHeight="1">
      <c r="A6" s="32" t="s">
        <v>27</v>
      </c>
      <c r="B6" s="31">
        <v>23.1</v>
      </c>
      <c r="C6" s="31">
        <v>62.4</v>
      </c>
      <c r="D6" s="31">
        <v>214.3</v>
      </c>
      <c r="E6" s="31">
        <v>611.9</v>
      </c>
      <c r="F6" s="31">
        <v>1156.9000000000001</v>
      </c>
      <c r="G6" s="31">
        <v>1257</v>
      </c>
      <c r="H6" s="31">
        <v>1366.1</v>
      </c>
      <c r="I6" s="31">
        <v>1476.5</v>
      </c>
      <c r="J6" s="31">
        <v>1587.8</v>
      </c>
      <c r="K6" s="31">
        <v>1697.6</v>
      </c>
      <c r="L6" s="31">
        <v>1808.6</v>
      </c>
      <c r="M6" s="31">
        <v>1922.3</v>
      </c>
      <c r="N6" s="31">
        <v>2008.4</v>
      </c>
      <c r="O6" s="31">
        <v>2106.5</v>
      </c>
      <c r="P6" s="31">
        <v>2181.6</v>
      </c>
      <c r="Q6" s="31">
        <v>2254.9</v>
      </c>
      <c r="R6" s="31">
        <v>2347.1999999999998</v>
      </c>
      <c r="S6" s="31">
        <v>2409.1</v>
      </c>
      <c r="T6" s="31">
        <v>2533.6</v>
      </c>
      <c r="U6" s="31">
        <v>2686.2</v>
      </c>
      <c r="V6" s="31">
        <v>2813.5</v>
      </c>
      <c r="W6" s="31">
        <v>2928.3</v>
      </c>
      <c r="X6" s="31">
        <v>3048.3</v>
      </c>
      <c r="Y6" s="31">
        <v>3207</v>
      </c>
    </row>
    <row r="7" spans="1:25" ht="11.5" customHeight="1">
      <c r="A7" s="33" t="s">
        <v>28</v>
      </c>
      <c r="B7" s="31">
        <v>9</v>
      </c>
      <c r="C7" s="31">
        <v>27.2</v>
      </c>
      <c r="D7" s="31">
        <v>100.5</v>
      </c>
      <c r="E7" s="31">
        <v>250.4</v>
      </c>
      <c r="F7" s="31">
        <v>415.5</v>
      </c>
      <c r="G7" s="31">
        <v>449.4</v>
      </c>
      <c r="H7" s="31">
        <v>486.5</v>
      </c>
      <c r="I7" s="31">
        <v>525.9</v>
      </c>
      <c r="J7" s="31">
        <v>565.29999999999995</v>
      </c>
      <c r="K7" s="31">
        <v>608.6</v>
      </c>
      <c r="L7" s="31">
        <v>651.20000000000005</v>
      </c>
      <c r="M7" s="31">
        <v>691.9</v>
      </c>
      <c r="N7" s="31">
        <v>721.6</v>
      </c>
      <c r="O7" s="31">
        <v>771</v>
      </c>
      <c r="P7" s="31">
        <v>808.8</v>
      </c>
      <c r="Q7" s="31">
        <v>833.3</v>
      </c>
      <c r="R7" s="31">
        <v>878</v>
      </c>
      <c r="S7" s="31">
        <v>906.8</v>
      </c>
      <c r="T7" s="31">
        <v>940.5</v>
      </c>
      <c r="U7" s="31">
        <v>989</v>
      </c>
      <c r="V7" s="31">
        <v>1035.4000000000001</v>
      </c>
      <c r="W7" s="31">
        <v>1077.5999999999999</v>
      </c>
      <c r="X7" s="31">
        <v>1122.5</v>
      </c>
      <c r="Y7" s="31">
        <v>1192</v>
      </c>
    </row>
    <row r="8" spans="1:25" ht="11.5" customHeight="1">
      <c r="A8" s="33" t="s">
        <v>29</v>
      </c>
      <c r="B8" s="31">
        <v>7.9</v>
      </c>
      <c r="C8" s="31">
        <v>19.8</v>
      </c>
      <c r="D8" s="31">
        <v>64.5</v>
      </c>
      <c r="E8" s="31">
        <v>207.8</v>
      </c>
      <c r="F8" s="31">
        <v>386.9</v>
      </c>
      <c r="G8" s="31">
        <v>420.6</v>
      </c>
      <c r="H8" s="31">
        <v>454.6</v>
      </c>
      <c r="I8" s="31">
        <v>487.1</v>
      </c>
      <c r="J8" s="31">
        <v>521.79999999999995</v>
      </c>
      <c r="K8" s="31">
        <v>553</v>
      </c>
      <c r="L8" s="31">
        <v>581.79999999999995</v>
      </c>
      <c r="M8" s="31">
        <v>615.29999999999995</v>
      </c>
      <c r="N8" s="31">
        <v>649.1</v>
      </c>
      <c r="O8" s="31">
        <v>668.1</v>
      </c>
      <c r="P8" s="31">
        <v>688.4</v>
      </c>
      <c r="Q8" s="31">
        <v>716.7</v>
      </c>
      <c r="R8" s="31">
        <v>743.2</v>
      </c>
      <c r="S8" s="31">
        <v>757.3</v>
      </c>
      <c r="T8" s="31">
        <v>793.8</v>
      </c>
      <c r="U8" s="31">
        <v>843.3</v>
      </c>
      <c r="V8" s="31">
        <v>893.8</v>
      </c>
      <c r="W8" s="31">
        <v>937.4</v>
      </c>
      <c r="X8" s="31">
        <v>979.4</v>
      </c>
      <c r="Y8" s="31">
        <v>1025.9000000000001</v>
      </c>
    </row>
    <row r="9" spans="1:25" ht="11.5" customHeight="1">
      <c r="A9" s="32" t="s">
        <v>30</v>
      </c>
      <c r="B9" s="31">
        <v>5.6</v>
      </c>
      <c r="C9" s="31">
        <v>14.3</v>
      </c>
      <c r="D9" s="31">
        <v>47.7</v>
      </c>
      <c r="E9" s="31">
        <v>158.9</v>
      </c>
      <c r="F9" s="31">
        <v>288.2</v>
      </c>
      <c r="G9" s="31">
        <v>312.7</v>
      </c>
      <c r="H9" s="31">
        <v>337.7</v>
      </c>
      <c r="I9" s="31">
        <v>364.3</v>
      </c>
      <c r="J9" s="31">
        <v>389.4</v>
      </c>
      <c r="K9" s="31">
        <v>413</v>
      </c>
      <c r="L9" s="31">
        <v>434.7</v>
      </c>
      <c r="M9" s="31">
        <v>457.5</v>
      </c>
      <c r="N9" s="31">
        <v>481.9</v>
      </c>
      <c r="O9" s="31">
        <v>497.7</v>
      </c>
      <c r="P9" s="31">
        <v>512.6</v>
      </c>
      <c r="Q9" s="31">
        <v>535.9</v>
      </c>
      <c r="R9" s="31">
        <v>557.1</v>
      </c>
      <c r="S9" s="31">
        <v>567.9</v>
      </c>
      <c r="T9" s="31">
        <v>596.70000000000005</v>
      </c>
      <c r="U9" s="31">
        <v>635.9</v>
      </c>
      <c r="V9" s="31">
        <v>675.5</v>
      </c>
      <c r="W9" s="31">
        <v>709.6</v>
      </c>
      <c r="X9" s="31">
        <v>738.2</v>
      </c>
      <c r="Y9" s="31">
        <v>772.1</v>
      </c>
    </row>
    <row r="10" spans="1:25" ht="11.5" customHeight="1">
      <c r="A10" s="32" t="s">
        <v>31</v>
      </c>
      <c r="B10" s="31">
        <v>0.4</v>
      </c>
      <c r="C10" s="31">
        <v>0.7</v>
      </c>
      <c r="D10" s="31">
        <v>3.5</v>
      </c>
      <c r="E10" s="31">
        <v>17.3</v>
      </c>
      <c r="F10" s="31">
        <v>36.6</v>
      </c>
      <c r="G10" s="31">
        <v>40.299999999999997</v>
      </c>
      <c r="H10" s="31">
        <v>43.3</v>
      </c>
      <c r="I10" s="31">
        <v>46.5</v>
      </c>
      <c r="J10" s="31">
        <v>50.2</v>
      </c>
      <c r="K10" s="31">
        <v>52.8</v>
      </c>
      <c r="L10" s="31">
        <v>55.3</v>
      </c>
      <c r="M10" s="31">
        <v>60.1</v>
      </c>
      <c r="N10" s="31">
        <v>64.5</v>
      </c>
      <c r="O10" s="31">
        <v>67</v>
      </c>
      <c r="P10" s="31">
        <v>69.900000000000006</v>
      </c>
      <c r="Q10" s="31">
        <v>72.8</v>
      </c>
      <c r="R10" s="31">
        <v>76.400000000000006</v>
      </c>
      <c r="S10" s="31">
        <v>78</v>
      </c>
      <c r="T10" s="31">
        <v>82.4</v>
      </c>
      <c r="U10" s="31">
        <v>87.4</v>
      </c>
      <c r="V10" s="31">
        <v>92.1</v>
      </c>
      <c r="W10" s="31">
        <v>96.7</v>
      </c>
      <c r="X10" s="31">
        <v>103.9</v>
      </c>
      <c r="Y10" s="31">
        <v>110.6</v>
      </c>
    </row>
    <row r="11" spans="1:25" ht="11.5" customHeight="1">
      <c r="A11" s="32" t="s">
        <v>32</v>
      </c>
      <c r="B11" s="31">
        <v>2</v>
      </c>
      <c r="C11" s="31">
        <v>4.7</v>
      </c>
      <c r="D11" s="31">
        <v>13.3</v>
      </c>
      <c r="E11" s="31">
        <v>31.6</v>
      </c>
      <c r="F11" s="31">
        <v>62.1</v>
      </c>
      <c r="G11" s="31">
        <v>67.7</v>
      </c>
      <c r="H11" s="31">
        <v>73.599999999999994</v>
      </c>
      <c r="I11" s="31">
        <v>76.3</v>
      </c>
      <c r="J11" s="31">
        <v>82.2</v>
      </c>
      <c r="K11" s="31">
        <v>87.2</v>
      </c>
      <c r="L11" s="31">
        <v>91.8</v>
      </c>
      <c r="M11" s="31">
        <v>97.7</v>
      </c>
      <c r="N11" s="31">
        <v>102.8</v>
      </c>
      <c r="O11" s="31">
        <v>103.4</v>
      </c>
      <c r="P11" s="31">
        <v>105.9</v>
      </c>
      <c r="Q11" s="31">
        <v>108</v>
      </c>
      <c r="R11" s="31">
        <v>109.7</v>
      </c>
      <c r="S11" s="31">
        <v>111.4</v>
      </c>
      <c r="T11" s="31">
        <v>114.7</v>
      </c>
      <c r="U11" s="31">
        <v>120</v>
      </c>
      <c r="V11" s="31">
        <v>126.2</v>
      </c>
      <c r="W11" s="31">
        <v>131.1</v>
      </c>
      <c r="X11" s="31">
        <v>137.4</v>
      </c>
      <c r="Y11" s="31">
        <v>143.19999999999999</v>
      </c>
    </row>
    <row r="12" spans="1:25" ht="12.65" customHeight="1">
      <c r="A12" s="32" t="s">
        <v>33</v>
      </c>
      <c r="B12" s="31">
        <v>0.4</v>
      </c>
      <c r="C12" s="31">
        <v>1.3</v>
      </c>
      <c r="D12" s="31">
        <v>8.4</v>
      </c>
      <c r="E12" s="31">
        <v>23.8</v>
      </c>
      <c r="F12" s="31">
        <v>63.9</v>
      </c>
      <c r="G12" s="31">
        <v>70</v>
      </c>
      <c r="H12" s="31">
        <v>76.7</v>
      </c>
      <c r="I12" s="31">
        <v>82.6</v>
      </c>
      <c r="J12" s="31">
        <v>89.5</v>
      </c>
      <c r="K12" s="31">
        <v>95.1</v>
      </c>
      <c r="L12" s="31">
        <v>101.5</v>
      </c>
      <c r="M12" s="31">
        <v>108.5</v>
      </c>
      <c r="N12" s="31">
        <v>112.9</v>
      </c>
      <c r="O12" s="31">
        <v>122</v>
      </c>
      <c r="P12" s="31">
        <v>128.4</v>
      </c>
      <c r="Q12" s="31">
        <v>131.6</v>
      </c>
      <c r="R12" s="31">
        <v>139.1</v>
      </c>
      <c r="S12" s="31">
        <v>144.69999999999999</v>
      </c>
      <c r="T12" s="31">
        <v>152.5</v>
      </c>
      <c r="U12" s="31">
        <v>165.4</v>
      </c>
      <c r="V12" s="31">
        <v>175.2</v>
      </c>
      <c r="W12" s="31">
        <v>185.7</v>
      </c>
      <c r="X12" s="31">
        <v>191.3</v>
      </c>
      <c r="Y12" s="31">
        <v>193.6</v>
      </c>
    </row>
    <row r="13" spans="1:25" ht="11.5" customHeight="1">
      <c r="A13" s="33" t="s">
        <v>34</v>
      </c>
      <c r="B13" s="31">
        <v>0.1</v>
      </c>
      <c r="C13" s="31">
        <v>0.2</v>
      </c>
      <c r="D13" s="31">
        <v>2.4</v>
      </c>
      <c r="E13" s="31">
        <v>12.5</v>
      </c>
      <c r="F13" s="31">
        <v>32.299999999999997</v>
      </c>
      <c r="G13" s="31">
        <v>34.299999999999997</v>
      </c>
      <c r="H13" s="31">
        <v>36.5</v>
      </c>
      <c r="I13" s="31">
        <v>40.200000000000003</v>
      </c>
      <c r="J13" s="31">
        <v>44.6</v>
      </c>
      <c r="K13" s="31">
        <v>49.3</v>
      </c>
      <c r="L13" s="31">
        <v>52.1</v>
      </c>
      <c r="M13" s="31">
        <v>57.5</v>
      </c>
      <c r="N13" s="31">
        <v>62.2</v>
      </c>
      <c r="O13" s="31">
        <v>67</v>
      </c>
      <c r="P13" s="31">
        <v>70.5</v>
      </c>
      <c r="Q13" s="31">
        <v>74.599999999999994</v>
      </c>
      <c r="R13" s="31">
        <v>78.099999999999994</v>
      </c>
      <c r="S13" s="31">
        <v>80.900000000000006</v>
      </c>
      <c r="T13" s="31">
        <v>84.4</v>
      </c>
      <c r="U13" s="31">
        <v>89.9</v>
      </c>
      <c r="V13" s="31">
        <v>94.6</v>
      </c>
      <c r="W13" s="31">
        <v>99.9</v>
      </c>
      <c r="X13" s="31">
        <v>105.4</v>
      </c>
      <c r="Y13" s="31">
        <v>113.5</v>
      </c>
    </row>
    <row r="14" spans="1:25" ht="12.65" customHeight="1">
      <c r="A14" s="33" t="s">
        <v>35</v>
      </c>
      <c r="B14" s="31">
        <v>0.8</v>
      </c>
      <c r="C14" s="31">
        <v>4</v>
      </c>
      <c r="D14" s="31">
        <v>15.3</v>
      </c>
      <c r="E14" s="31">
        <v>44.7</v>
      </c>
      <c r="F14" s="31">
        <v>85</v>
      </c>
      <c r="G14" s="31">
        <v>90.8</v>
      </c>
      <c r="H14" s="31">
        <v>94.5</v>
      </c>
      <c r="I14" s="31">
        <v>100.1</v>
      </c>
      <c r="J14" s="31">
        <v>105.1</v>
      </c>
      <c r="K14" s="31">
        <v>111.4</v>
      </c>
      <c r="L14" s="31">
        <v>115.9</v>
      </c>
      <c r="M14" s="31">
        <v>124.9</v>
      </c>
      <c r="N14" s="31">
        <v>130.4</v>
      </c>
      <c r="O14" s="31">
        <v>135.19999999999999</v>
      </c>
      <c r="P14" s="31">
        <v>140.5</v>
      </c>
      <c r="Q14" s="31">
        <v>145.30000000000001</v>
      </c>
      <c r="R14" s="31">
        <v>147.30000000000001</v>
      </c>
      <c r="S14" s="31">
        <v>148.6</v>
      </c>
      <c r="T14" s="31">
        <v>152.19999999999999</v>
      </c>
      <c r="U14" s="31">
        <v>156.19999999999999</v>
      </c>
      <c r="V14" s="31">
        <v>161.4</v>
      </c>
      <c r="W14" s="31">
        <v>163.4</v>
      </c>
      <c r="X14" s="31">
        <v>167.2</v>
      </c>
      <c r="Y14" s="31">
        <v>172.7</v>
      </c>
    </row>
    <row r="15" spans="1:25" ht="11.5" customHeight="1">
      <c r="A15" s="33" t="s">
        <v>36</v>
      </c>
      <c r="B15" s="31">
        <v>4.9000000000000004</v>
      </c>
      <c r="C15" s="31">
        <v>9.9</v>
      </c>
      <c r="D15" s="31">
        <v>23.2</v>
      </c>
      <c r="E15" s="31">
        <v>72.5</v>
      </c>
      <c r="F15" s="31">
        <v>173.2</v>
      </c>
      <c r="G15" s="31">
        <v>191.9</v>
      </c>
      <c r="H15" s="31">
        <v>217.3</v>
      </c>
      <c r="I15" s="31">
        <v>240.6</v>
      </c>
      <c r="J15" s="31">
        <v>261.5</v>
      </c>
      <c r="K15" s="31">
        <v>280.10000000000002</v>
      </c>
      <c r="L15" s="31">
        <v>306.2</v>
      </c>
      <c r="M15" s="31">
        <v>324.2</v>
      </c>
      <c r="N15" s="31">
        <v>332.1</v>
      </c>
      <c r="O15" s="31">
        <v>343.1</v>
      </c>
      <c r="P15" s="31">
        <v>345.1</v>
      </c>
      <c r="Q15" s="31">
        <v>353.4</v>
      </c>
      <c r="R15" s="31">
        <v>361.5</v>
      </c>
      <c r="S15" s="31">
        <v>370.7</v>
      </c>
      <c r="T15" s="31">
        <v>410.1</v>
      </c>
      <c r="U15" s="31">
        <v>442.4</v>
      </c>
      <c r="V15" s="31">
        <v>453.1</v>
      </c>
      <c r="W15" s="31">
        <v>464.3</v>
      </c>
      <c r="X15" s="31">
        <v>482.4</v>
      </c>
      <c r="Y15" s="31">
        <v>509.3</v>
      </c>
    </row>
    <row r="16" spans="1:25" ht="11.5" customHeight="1">
      <c r="A16" s="33" t="s">
        <v>37</v>
      </c>
      <c r="B16" s="31">
        <v>2.7</v>
      </c>
      <c r="C16" s="31">
        <v>5.5</v>
      </c>
      <c r="D16" s="31">
        <v>12</v>
      </c>
      <c r="E16" s="31">
        <v>40.299999999999997</v>
      </c>
      <c r="F16" s="31">
        <v>122</v>
      </c>
      <c r="G16" s="31">
        <v>140.6</v>
      </c>
      <c r="H16" s="31">
        <v>159.80000000000001</v>
      </c>
      <c r="I16" s="31">
        <v>179.7</v>
      </c>
      <c r="J16" s="31">
        <v>195.6</v>
      </c>
      <c r="K16" s="31">
        <v>208.6</v>
      </c>
      <c r="L16" s="31">
        <v>228.1</v>
      </c>
      <c r="M16" s="31">
        <v>239.3</v>
      </c>
      <c r="N16" s="31">
        <v>244.3</v>
      </c>
      <c r="O16" s="31">
        <v>254.3</v>
      </c>
      <c r="P16" s="31">
        <v>253.4</v>
      </c>
      <c r="Q16" s="31">
        <v>256.3</v>
      </c>
      <c r="R16" s="31">
        <v>257</v>
      </c>
      <c r="S16" s="31">
        <v>262.60000000000002</v>
      </c>
      <c r="T16" s="31">
        <v>298</v>
      </c>
      <c r="U16" s="31">
        <v>324.39999999999998</v>
      </c>
      <c r="V16" s="31">
        <v>329.9</v>
      </c>
      <c r="W16" s="31">
        <v>337.1</v>
      </c>
      <c r="X16" s="31">
        <v>349.8</v>
      </c>
      <c r="Y16" s="31">
        <v>369.7</v>
      </c>
    </row>
    <row r="17" spans="1:25" ht="11.5" customHeight="1">
      <c r="A17" s="32" t="s">
        <v>38</v>
      </c>
      <c r="B17" s="31">
        <v>0.7</v>
      </c>
      <c r="C17" s="31">
        <v>1.7</v>
      </c>
      <c r="D17" s="31">
        <v>4.0999999999999996</v>
      </c>
      <c r="E17" s="31">
        <v>13.8</v>
      </c>
      <c r="F17" s="31">
        <v>26</v>
      </c>
      <c r="G17" s="31">
        <v>25.3</v>
      </c>
      <c r="H17" s="31">
        <v>29.6</v>
      </c>
      <c r="I17" s="31">
        <v>30.6</v>
      </c>
      <c r="J17" s="31">
        <v>33.1</v>
      </c>
      <c r="K17" s="31">
        <v>36</v>
      </c>
      <c r="L17" s="31">
        <v>39.5</v>
      </c>
      <c r="M17" s="31">
        <v>43.1</v>
      </c>
      <c r="N17" s="31">
        <v>42.5</v>
      </c>
      <c r="O17" s="31">
        <v>41.2</v>
      </c>
      <c r="P17" s="31">
        <v>39.9</v>
      </c>
      <c r="Q17" s="31">
        <v>40.5</v>
      </c>
      <c r="R17" s="31">
        <v>43.3</v>
      </c>
      <c r="S17" s="31">
        <v>44.9</v>
      </c>
      <c r="T17" s="31">
        <v>46.6</v>
      </c>
      <c r="U17" s="31">
        <v>48.8</v>
      </c>
      <c r="V17" s="31">
        <v>50.9</v>
      </c>
      <c r="W17" s="31">
        <v>52.4</v>
      </c>
      <c r="X17" s="31">
        <v>54.8</v>
      </c>
      <c r="Y17" s="31">
        <v>57.6</v>
      </c>
    </row>
    <row r="18" spans="1:25" ht="11.5" customHeight="1">
      <c r="A18" s="32" t="s">
        <v>39</v>
      </c>
      <c r="B18" s="31">
        <v>1.5</v>
      </c>
      <c r="C18" s="31">
        <v>2.6</v>
      </c>
      <c r="D18" s="31">
        <v>7.1</v>
      </c>
      <c r="E18" s="31">
        <v>18.5</v>
      </c>
      <c r="F18" s="31">
        <v>25.2</v>
      </c>
      <c r="G18" s="31">
        <v>26.1</v>
      </c>
      <c r="H18" s="31">
        <v>27.9</v>
      </c>
      <c r="I18" s="31">
        <v>30.3</v>
      </c>
      <c r="J18" s="31">
        <v>32.700000000000003</v>
      </c>
      <c r="K18" s="31">
        <v>35.5</v>
      </c>
      <c r="L18" s="31">
        <v>38.700000000000003</v>
      </c>
      <c r="M18" s="31">
        <v>41.7</v>
      </c>
      <c r="N18" s="31">
        <v>45.3</v>
      </c>
      <c r="O18" s="31">
        <v>47.6</v>
      </c>
      <c r="P18" s="31">
        <v>51.8</v>
      </c>
      <c r="Q18" s="31">
        <v>56.6</v>
      </c>
      <c r="R18" s="31">
        <v>61.2</v>
      </c>
      <c r="S18" s="31">
        <v>63.2</v>
      </c>
      <c r="T18" s="31">
        <v>65.5</v>
      </c>
      <c r="U18" s="31">
        <v>69.3</v>
      </c>
      <c r="V18" s="31">
        <v>72.3</v>
      </c>
      <c r="W18" s="31">
        <v>74.900000000000006</v>
      </c>
      <c r="X18" s="31">
        <v>77.7</v>
      </c>
      <c r="Y18" s="31">
        <v>82.1</v>
      </c>
    </row>
    <row r="19" spans="1:25" ht="12.65" customHeight="1">
      <c r="A19" s="34" t="s">
        <v>40</v>
      </c>
      <c r="B19" s="31">
        <v>0.1</v>
      </c>
      <c r="C19" s="31">
        <v>0.7</v>
      </c>
      <c r="D19" s="31">
        <v>2.8</v>
      </c>
      <c r="E19" s="31">
        <v>7.2</v>
      </c>
      <c r="F19" s="31">
        <v>17.100000000000001</v>
      </c>
      <c r="G19" s="31">
        <v>19.600000000000001</v>
      </c>
      <c r="H19" s="31">
        <v>22.6</v>
      </c>
      <c r="I19" s="31">
        <v>25.1</v>
      </c>
      <c r="J19" s="31">
        <v>27.1</v>
      </c>
      <c r="K19" s="31">
        <v>28.2</v>
      </c>
      <c r="L19" s="31">
        <v>28.8</v>
      </c>
      <c r="M19" s="31">
        <v>29.2</v>
      </c>
      <c r="N19" s="31">
        <v>29.3</v>
      </c>
      <c r="O19" s="31">
        <v>29.6</v>
      </c>
      <c r="P19" s="31">
        <v>30.2</v>
      </c>
      <c r="Q19" s="31">
        <v>32.9</v>
      </c>
      <c r="R19" s="31">
        <v>34.200000000000003</v>
      </c>
      <c r="S19" s="31">
        <v>37.5</v>
      </c>
      <c r="T19" s="31">
        <v>42.3</v>
      </c>
      <c r="U19" s="31">
        <v>42.8</v>
      </c>
      <c r="V19" s="31">
        <v>45</v>
      </c>
      <c r="W19" s="31">
        <v>45</v>
      </c>
      <c r="X19" s="31">
        <v>47.3</v>
      </c>
      <c r="Y19" s="31">
        <v>48.9</v>
      </c>
    </row>
    <row r="20" spans="1:25" ht="12.65" customHeight="1">
      <c r="A20" s="34" t="s">
        <v>41</v>
      </c>
      <c r="B20" s="31">
        <v>1</v>
      </c>
      <c r="C20" s="31">
        <v>1.9</v>
      </c>
      <c r="D20" s="31">
        <v>9.1</v>
      </c>
      <c r="E20" s="31">
        <v>31.1</v>
      </c>
      <c r="F20" s="31">
        <v>62.9</v>
      </c>
      <c r="G20" s="31">
        <v>69.599999999999994</v>
      </c>
      <c r="H20" s="31">
        <v>88.3</v>
      </c>
      <c r="I20" s="31">
        <v>105.4</v>
      </c>
      <c r="J20" s="31">
        <v>112.8</v>
      </c>
      <c r="K20" s="31">
        <v>120.9</v>
      </c>
      <c r="L20" s="31">
        <v>135</v>
      </c>
      <c r="M20" s="31">
        <v>141.5</v>
      </c>
      <c r="N20" s="31">
        <v>137</v>
      </c>
      <c r="O20" s="31">
        <v>135.30000000000001</v>
      </c>
      <c r="P20" s="31">
        <v>150.1</v>
      </c>
      <c r="Q20" s="31">
        <v>155.5</v>
      </c>
      <c r="R20" s="31">
        <v>161.30000000000001</v>
      </c>
      <c r="S20" s="31">
        <v>168.3</v>
      </c>
      <c r="T20" s="31">
        <v>188.5</v>
      </c>
      <c r="U20" s="31">
        <v>199.1</v>
      </c>
      <c r="V20" s="31">
        <v>210.6</v>
      </c>
      <c r="W20" s="31">
        <v>219.1</v>
      </c>
      <c r="X20" s="31">
        <v>249.5</v>
      </c>
      <c r="Y20" s="31">
        <v>239.9</v>
      </c>
    </row>
    <row r="21" spans="1:25" ht="11.5" customHeight="1">
      <c r="A21" s="33" t="s">
        <v>42</v>
      </c>
      <c r="B21" s="31">
        <v>0.4</v>
      </c>
      <c r="C21" s="31">
        <v>1.4</v>
      </c>
      <c r="D21" s="31">
        <v>6.4</v>
      </c>
      <c r="E21" s="31">
        <v>20</v>
      </c>
      <c r="F21" s="31">
        <v>43</v>
      </c>
      <c r="G21" s="31">
        <v>46.8</v>
      </c>
      <c r="H21" s="31">
        <v>52.2</v>
      </c>
      <c r="I21" s="31">
        <v>54.2</v>
      </c>
      <c r="J21" s="31">
        <v>54.9</v>
      </c>
      <c r="K21" s="31">
        <v>57.3</v>
      </c>
      <c r="L21" s="31">
        <v>60.9</v>
      </c>
      <c r="M21" s="31">
        <v>66</v>
      </c>
      <c r="N21" s="31">
        <v>71.599999999999994</v>
      </c>
      <c r="O21" s="31">
        <v>74.2</v>
      </c>
      <c r="P21" s="31">
        <v>75.7</v>
      </c>
      <c r="Q21" s="31">
        <v>74.400000000000006</v>
      </c>
      <c r="R21" s="31">
        <v>77.2</v>
      </c>
      <c r="S21" s="31">
        <v>81.5</v>
      </c>
      <c r="T21" s="31">
        <v>84.4</v>
      </c>
      <c r="U21" s="31">
        <v>85.7</v>
      </c>
      <c r="V21" s="31">
        <v>88.4</v>
      </c>
      <c r="W21" s="31">
        <v>92.1</v>
      </c>
      <c r="X21" s="31">
        <v>94.5</v>
      </c>
      <c r="Y21" s="31">
        <v>97.8</v>
      </c>
    </row>
    <row r="22" spans="1:25" ht="11.5" customHeight="1">
      <c r="A22" s="35" t="s">
        <v>43</v>
      </c>
      <c r="B22" s="31">
        <v>2.6</v>
      </c>
      <c r="C22" s="31">
        <v>7.7</v>
      </c>
      <c r="D22" s="31">
        <v>20.6</v>
      </c>
      <c r="E22" s="31">
        <v>48.6</v>
      </c>
      <c r="F22" s="31">
        <v>85.7</v>
      </c>
      <c r="G22" s="31">
        <v>90</v>
      </c>
      <c r="H22" s="31">
        <v>101.5</v>
      </c>
      <c r="I22" s="31">
        <v>108.6</v>
      </c>
      <c r="J22" s="31">
        <v>116.9</v>
      </c>
      <c r="K22" s="31">
        <v>125.5</v>
      </c>
      <c r="L22" s="31">
        <v>133</v>
      </c>
      <c r="M22" s="31">
        <v>146.19999999999999</v>
      </c>
      <c r="N22" s="31">
        <v>156.30000000000001</v>
      </c>
      <c r="O22" s="31">
        <v>147.19999999999999</v>
      </c>
      <c r="P22" s="31">
        <v>152.1</v>
      </c>
      <c r="Q22" s="31">
        <v>158.69999999999999</v>
      </c>
      <c r="R22" s="31">
        <v>163.19999999999999</v>
      </c>
      <c r="S22" s="31">
        <v>163.1</v>
      </c>
      <c r="T22" s="31">
        <v>159.6</v>
      </c>
      <c r="U22" s="31">
        <v>164</v>
      </c>
      <c r="V22" s="31">
        <v>167</v>
      </c>
      <c r="W22" s="31">
        <v>181.5</v>
      </c>
      <c r="X22" s="31">
        <v>190.2</v>
      </c>
      <c r="Y22" s="31">
        <v>201.7</v>
      </c>
    </row>
    <row r="23" spans="1:25" ht="12.65" customHeight="1">
      <c r="A23" s="32" t="s">
        <v>44</v>
      </c>
      <c r="B23" s="31">
        <v>0.7</v>
      </c>
      <c r="C23" s="31">
        <v>2</v>
      </c>
      <c r="D23" s="31">
        <v>5.4</v>
      </c>
      <c r="E23" s="31">
        <v>12.7</v>
      </c>
      <c r="F23" s="31">
        <v>25.5</v>
      </c>
      <c r="G23" s="31">
        <v>28.5</v>
      </c>
      <c r="H23" s="31">
        <v>32</v>
      </c>
      <c r="I23" s="31">
        <v>34.799999999999997</v>
      </c>
      <c r="J23" s="31">
        <v>38.6</v>
      </c>
      <c r="K23" s="31">
        <v>40.299999999999997</v>
      </c>
      <c r="L23" s="31">
        <v>41.2</v>
      </c>
      <c r="M23" s="31">
        <v>42.6</v>
      </c>
      <c r="N23" s="31">
        <v>44.3</v>
      </c>
      <c r="O23" s="31">
        <v>45.3</v>
      </c>
      <c r="P23" s="31">
        <v>49.1</v>
      </c>
      <c r="Q23" s="31">
        <v>49.6</v>
      </c>
      <c r="R23" s="31">
        <v>48.4</v>
      </c>
      <c r="S23" s="31">
        <v>46.7</v>
      </c>
      <c r="T23" s="31">
        <v>46</v>
      </c>
      <c r="U23" s="31">
        <v>46.4</v>
      </c>
      <c r="V23" s="31">
        <v>47.3</v>
      </c>
      <c r="W23" s="31">
        <v>50.3</v>
      </c>
      <c r="X23" s="31">
        <v>53.6</v>
      </c>
      <c r="Y23" s="31">
        <v>56.6</v>
      </c>
    </row>
    <row r="24" spans="1:25" ht="11.5" customHeight="1">
      <c r="A24" s="32" t="s">
        <v>45</v>
      </c>
      <c r="B24" s="31">
        <v>1.9</v>
      </c>
      <c r="C24" s="31">
        <v>5.8</v>
      </c>
      <c r="D24" s="31">
        <v>15.1</v>
      </c>
      <c r="E24" s="31">
        <v>35.9</v>
      </c>
      <c r="F24" s="31">
        <v>60.2</v>
      </c>
      <c r="G24" s="31">
        <v>61.5</v>
      </c>
      <c r="H24" s="31">
        <v>69.400000000000006</v>
      </c>
      <c r="I24" s="31">
        <v>73.7</v>
      </c>
      <c r="J24" s="31">
        <v>78.400000000000006</v>
      </c>
      <c r="K24" s="31">
        <v>85.2</v>
      </c>
      <c r="L24" s="31">
        <v>91.8</v>
      </c>
      <c r="M24" s="31">
        <v>103.6</v>
      </c>
      <c r="N24" s="31">
        <v>112</v>
      </c>
      <c r="O24" s="31">
        <v>101.9</v>
      </c>
      <c r="P24" s="31">
        <v>103</v>
      </c>
      <c r="Q24" s="31">
        <v>109.2</v>
      </c>
      <c r="R24" s="31">
        <v>114.8</v>
      </c>
      <c r="S24" s="31">
        <v>116.4</v>
      </c>
      <c r="T24" s="31">
        <v>113.5</v>
      </c>
      <c r="U24" s="31">
        <v>117.6</v>
      </c>
      <c r="V24" s="31">
        <v>119.7</v>
      </c>
      <c r="W24" s="31">
        <v>131.19999999999999</v>
      </c>
      <c r="X24" s="31">
        <v>136.6</v>
      </c>
      <c r="Y24" s="31">
        <v>145.1</v>
      </c>
    </row>
    <row r="25" spans="1:25" ht="10.5" customHeight="1">
      <c r="A25" s="33"/>
      <c r="B25" s="36" t="s">
        <v>46</v>
      </c>
      <c r="C25" s="28"/>
      <c r="D25" s="28"/>
      <c r="E25" s="28"/>
      <c r="F25" s="27"/>
      <c r="G25" s="28"/>
      <c r="H25" s="19"/>
      <c r="I25" s="28"/>
      <c r="J25" s="28"/>
      <c r="K25" s="28"/>
      <c r="L25" s="28"/>
      <c r="M25" s="37"/>
      <c r="N25" s="37"/>
      <c r="O25" s="27"/>
      <c r="P25" s="27"/>
      <c r="Q25" s="27"/>
      <c r="R25" s="27"/>
      <c r="S25" s="27"/>
      <c r="T25" s="27"/>
      <c r="U25" s="27"/>
      <c r="V25" s="27"/>
      <c r="W25" s="27"/>
      <c r="X25" s="27"/>
      <c r="Y25" s="27"/>
    </row>
    <row r="26" spans="1:25" ht="11.5" customHeight="1">
      <c r="A26" s="29" t="s">
        <v>25</v>
      </c>
      <c r="B26" s="38" t="s">
        <v>47</v>
      </c>
      <c r="C26" s="38">
        <v>0.106</v>
      </c>
      <c r="D26" s="38">
        <v>0.13100000000000001</v>
      </c>
      <c r="E26" s="38">
        <v>0.11</v>
      </c>
      <c r="F26" s="38">
        <v>6.6000000000000003E-2</v>
      </c>
      <c r="G26" s="39">
        <v>8.5999999999999993E-2</v>
      </c>
      <c r="H26" s="39">
        <v>0.1</v>
      </c>
      <c r="I26" s="39">
        <v>8.5000000000000006E-2</v>
      </c>
      <c r="J26" s="39">
        <v>7.2999999999999995E-2</v>
      </c>
      <c r="K26" s="39">
        <v>6.8000000000000005E-2</v>
      </c>
      <c r="L26" s="39">
        <v>6.7000000000000004E-2</v>
      </c>
      <c r="M26" s="39">
        <v>6.4000000000000001E-2</v>
      </c>
      <c r="N26" s="39">
        <v>4.2000000000000003E-2</v>
      </c>
      <c r="O26" s="39">
        <v>3.7999999999999999E-2</v>
      </c>
      <c r="P26" s="39">
        <v>3.9E-2</v>
      </c>
      <c r="Q26" s="39">
        <v>3.3000000000000002E-2</v>
      </c>
      <c r="R26" s="39">
        <v>0.04</v>
      </c>
      <c r="S26" s="39">
        <v>2.7E-2</v>
      </c>
      <c r="T26" s="39">
        <v>5.1999999999999998E-2</v>
      </c>
      <c r="U26" s="39">
        <v>5.6000000000000001E-2</v>
      </c>
      <c r="V26" s="39">
        <v>4.5999999999999999E-2</v>
      </c>
      <c r="W26" s="39">
        <v>4.2999999999999997E-2</v>
      </c>
      <c r="X26" s="39">
        <v>4.7E-2</v>
      </c>
      <c r="Y26" s="39">
        <v>4.5999999999999999E-2</v>
      </c>
    </row>
    <row r="27" spans="1:25" ht="11.5" customHeight="1">
      <c r="A27" s="29" t="s">
        <v>26</v>
      </c>
      <c r="B27" s="40" t="s">
        <v>47</v>
      </c>
      <c r="C27" s="41">
        <v>10.4</v>
      </c>
      <c r="D27" s="41">
        <v>13.4</v>
      </c>
      <c r="E27" s="41">
        <v>11.2</v>
      </c>
      <c r="F27" s="41">
        <v>6.7</v>
      </c>
      <c r="G27" s="41">
        <v>8.8000000000000007</v>
      </c>
      <c r="H27" s="41">
        <v>9.8000000000000007</v>
      </c>
      <c r="I27" s="41">
        <v>8.6</v>
      </c>
      <c r="J27" s="41">
        <v>7.3</v>
      </c>
      <c r="K27" s="41">
        <v>6.8</v>
      </c>
      <c r="L27" s="41">
        <v>6.8</v>
      </c>
      <c r="M27" s="41">
        <v>6.2</v>
      </c>
      <c r="N27" s="41">
        <v>4</v>
      </c>
      <c r="O27" s="41">
        <v>4.4000000000000004</v>
      </c>
      <c r="P27" s="41">
        <v>3.9</v>
      </c>
      <c r="Q27" s="41">
        <v>3.3</v>
      </c>
      <c r="R27" s="41">
        <v>4.0999999999999996</v>
      </c>
      <c r="S27" s="41">
        <v>2.9</v>
      </c>
      <c r="T27" s="41">
        <v>5.6</v>
      </c>
      <c r="U27" s="41">
        <v>5.8</v>
      </c>
      <c r="V27" s="41">
        <v>4.8</v>
      </c>
      <c r="W27" s="41">
        <v>4</v>
      </c>
      <c r="X27" s="41">
        <v>4.7</v>
      </c>
      <c r="Y27" s="41">
        <v>4.5</v>
      </c>
    </row>
    <row r="28" spans="1:25" ht="11.5" customHeight="1">
      <c r="A28" s="32" t="s">
        <v>27</v>
      </c>
      <c r="B28" s="40" t="s">
        <v>47</v>
      </c>
      <c r="C28" s="41">
        <v>10.4</v>
      </c>
      <c r="D28" s="41">
        <v>13.1</v>
      </c>
      <c r="E28" s="41">
        <v>11.1</v>
      </c>
      <c r="F28" s="41">
        <v>6.6</v>
      </c>
      <c r="G28" s="41">
        <v>8.6</v>
      </c>
      <c r="H28" s="41">
        <v>8.6999999999999993</v>
      </c>
      <c r="I28" s="41">
        <v>8.1</v>
      </c>
      <c r="J28" s="41">
        <v>7.5</v>
      </c>
      <c r="K28" s="41">
        <v>6.9</v>
      </c>
      <c r="L28" s="41">
        <v>6.5</v>
      </c>
      <c r="M28" s="41">
        <v>6.3</v>
      </c>
      <c r="N28" s="41">
        <v>4.5</v>
      </c>
      <c r="O28" s="41">
        <v>4.9000000000000004</v>
      </c>
      <c r="P28" s="41">
        <v>3.6</v>
      </c>
      <c r="Q28" s="41">
        <v>3.4</v>
      </c>
      <c r="R28" s="41">
        <v>4.0999999999999996</v>
      </c>
      <c r="S28" s="41">
        <v>2.6</v>
      </c>
      <c r="T28" s="41">
        <v>5.2</v>
      </c>
      <c r="U28" s="41">
        <v>6</v>
      </c>
      <c r="V28" s="41">
        <v>4.7</v>
      </c>
      <c r="W28" s="41">
        <v>4.0999999999999996</v>
      </c>
      <c r="X28" s="41">
        <v>4.0999999999999996</v>
      </c>
      <c r="Y28" s="41">
        <v>5.2</v>
      </c>
    </row>
    <row r="29" spans="1:25" ht="11.5" customHeight="1">
      <c r="A29" s="33" t="s">
        <v>28</v>
      </c>
      <c r="B29" s="40" t="s">
        <v>47</v>
      </c>
      <c r="C29" s="41">
        <v>11.7</v>
      </c>
      <c r="D29" s="41">
        <v>14</v>
      </c>
      <c r="E29" s="41">
        <v>9.6</v>
      </c>
      <c r="F29" s="41">
        <v>5.2</v>
      </c>
      <c r="G29" s="41">
        <v>8.1</v>
      </c>
      <c r="H29" s="41">
        <v>8.3000000000000007</v>
      </c>
      <c r="I29" s="41">
        <v>8.1</v>
      </c>
      <c r="J29" s="41">
        <v>7.5</v>
      </c>
      <c r="K29" s="41">
        <v>7.7</v>
      </c>
      <c r="L29" s="41">
        <v>7</v>
      </c>
      <c r="M29" s="41">
        <v>6.2</v>
      </c>
      <c r="N29" s="41">
        <v>4.3</v>
      </c>
      <c r="O29" s="41">
        <v>6.8</v>
      </c>
      <c r="P29" s="41">
        <v>4.9000000000000004</v>
      </c>
      <c r="Q29" s="41">
        <v>3</v>
      </c>
      <c r="R29" s="41">
        <v>5.4</v>
      </c>
      <c r="S29" s="41">
        <v>3.3</v>
      </c>
      <c r="T29" s="41">
        <v>3.7</v>
      </c>
      <c r="U29" s="41">
        <v>5.2</v>
      </c>
      <c r="V29" s="41">
        <v>4.7</v>
      </c>
      <c r="W29" s="41">
        <v>4.0999999999999996</v>
      </c>
      <c r="X29" s="41">
        <v>4.2</v>
      </c>
      <c r="Y29" s="41">
        <v>6.2</v>
      </c>
    </row>
    <row r="30" spans="1:25" ht="11.5" customHeight="1">
      <c r="A30" s="33" t="s">
        <v>29</v>
      </c>
      <c r="B30" s="40" t="s">
        <v>47</v>
      </c>
      <c r="C30" s="41">
        <v>9.6</v>
      </c>
      <c r="D30" s="41">
        <v>12.6</v>
      </c>
      <c r="E30" s="41">
        <v>12.4</v>
      </c>
      <c r="F30" s="41">
        <v>6.4</v>
      </c>
      <c r="G30" s="41">
        <v>8.6999999999999993</v>
      </c>
      <c r="H30" s="41">
        <v>8.1</v>
      </c>
      <c r="I30" s="41">
        <v>7.1</v>
      </c>
      <c r="J30" s="41">
        <v>7.1</v>
      </c>
      <c r="K30" s="41">
        <v>6</v>
      </c>
      <c r="L30" s="41">
        <v>5.2</v>
      </c>
      <c r="M30" s="41">
        <v>5.8</v>
      </c>
      <c r="N30" s="41">
        <v>5.5</v>
      </c>
      <c r="O30" s="41">
        <v>2.9</v>
      </c>
      <c r="P30" s="41">
        <v>3</v>
      </c>
      <c r="Q30" s="41">
        <v>4.0999999999999996</v>
      </c>
      <c r="R30" s="41">
        <v>3.7</v>
      </c>
      <c r="S30" s="41">
        <v>1.9</v>
      </c>
      <c r="T30" s="41">
        <v>4.8</v>
      </c>
      <c r="U30" s="41">
        <v>6.2</v>
      </c>
      <c r="V30" s="41">
        <v>6</v>
      </c>
      <c r="W30" s="41">
        <v>4.9000000000000004</v>
      </c>
      <c r="X30" s="41">
        <v>4.5</v>
      </c>
      <c r="Y30" s="41">
        <v>4.7</v>
      </c>
    </row>
    <row r="31" spans="1:25" ht="11.5" customHeight="1">
      <c r="A31" s="32" t="s">
        <v>30</v>
      </c>
      <c r="B31" s="40" t="s">
        <v>47</v>
      </c>
      <c r="C31" s="41">
        <v>9.9</v>
      </c>
      <c r="D31" s="41">
        <v>12.8</v>
      </c>
      <c r="E31" s="41">
        <v>12.8</v>
      </c>
      <c r="F31" s="41">
        <v>6.1</v>
      </c>
      <c r="G31" s="41">
        <v>8.5</v>
      </c>
      <c r="H31" s="41">
        <v>8</v>
      </c>
      <c r="I31" s="41">
        <v>7.9</v>
      </c>
      <c r="J31" s="41">
        <v>6.9</v>
      </c>
      <c r="K31" s="41">
        <v>6.1</v>
      </c>
      <c r="L31" s="41">
        <v>5.3</v>
      </c>
      <c r="M31" s="41">
        <v>5.2</v>
      </c>
      <c r="N31" s="41">
        <v>5.3</v>
      </c>
      <c r="O31" s="41">
        <v>3.3</v>
      </c>
      <c r="P31" s="41">
        <v>3</v>
      </c>
      <c r="Q31" s="41">
        <v>4.5</v>
      </c>
      <c r="R31" s="41">
        <v>4</v>
      </c>
      <c r="S31" s="41">
        <v>1.9</v>
      </c>
      <c r="T31" s="41">
        <v>5.0999999999999996</v>
      </c>
      <c r="U31" s="41">
        <v>6.6</v>
      </c>
      <c r="V31" s="41">
        <v>6.2</v>
      </c>
      <c r="W31" s="41">
        <v>5</v>
      </c>
      <c r="X31" s="41">
        <v>4</v>
      </c>
      <c r="Y31" s="41">
        <v>4.5999999999999996</v>
      </c>
    </row>
    <row r="32" spans="1:25" ht="11.5" customHeight="1">
      <c r="A32" s="32" t="s">
        <v>31</v>
      </c>
      <c r="B32" s="40" t="s">
        <v>47</v>
      </c>
      <c r="C32" s="41">
        <v>6.3</v>
      </c>
      <c r="D32" s="41">
        <v>17</v>
      </c>
      <c r="E32" s="41">
        <v>17.399999999999999</v>
      </c>
      <c r="F32" s="41">
        <v>7.8</v>
      </c>
      <c r="G32" s="41">
        <v>9.9</v>
      </c>
      <c r="H32" s="41">
        <v>7.6</v>
      </c>
      <c r="I32" s="41">
        <v>7.3</v>
      </c>
      <c r="J32" s="41">
        <v>7.9</v>
      </c>
      <c r="K32" s="41">
        <v>5.0999999999999996</v>
      </c>
      <c r="L32" s="41">
        <v>4.7</v>
      </c>
      <c r="M32" s="41">
        <v>8.6999999999999993</v>
      </c>
      <c r="N32" s="41">
        <v>7.4</v>
      </c>
      <c r="O32" s="41">
        <v>4</v>
      </c>
      <c r="P32" s="41">
        <v>4.3</v>
      </c>
      <c r="Q32" s="41">
        <v>4.2</v>
      </c>
      <c r="R32" s="41">
        <v>5</v>
      </c>
      <c r="S32" s="41">
        <v>2.1</v>
      </c>
      <c r="T32" s="41">
        <v>5.6</v>
      </c>
      <c r="U32" s="41">
        <v>6.1</v>
      </c>
      <c r="V32" s="41">
        <v>5.4</v>
      </c>
      <c r="W32" s="41">
        <v>5</v>
      </c>
      <c r="X32" s="41">
        <v>7.5</v>
      </c>
      <c r="Y32" s="41">
        <v>6.5</v>
      </c>
    </row>
    <row r="33" spans="1:25" ht="11.5" customHeight="1">
      <c r="A33" s="32" t="s">
        <v>32</v>
      </c>
      <c r="B33" s="40" t="s">
        <v>47</v>
      </c>
      <c r="C33" s="41">
        <v>9</v>
      </c>
      <c r="D33" s="41">
        <v>10.9</v>
      </c>
      <c r="E33" s="41">
        <v>9</v>
      </c>
      <c r="F33" s="41">
        <v>7</v>
      </c>
      <c r="G33" s="41">
        <v>9</v>
      </c>
      <c r="H33" s="41">
        <v>8.8000000000000007</v>
      </c>
      <c r="I33" s="41">
        <v>3.6</v>
      </c>
      <c r="J33" s="41">
        <v>7.7</v>
      </c>
      <c r="K33" s="41">
        <v>6.1</v>
      </c>
      <c r="L33" s="41">
        <v>5.2</v>
      </c>
      <c r="M33" s="41">
        <v>6.5</v>
      </c>
      <c r="N33" s="41">
        <v>5.0999999999999996</v>
      </c>
      <c r="O33" s="41">
        <v>0.6</v>
      </c>
      <c r="P33" s="41">
        <v>2.4</v>
      </c>
      <c r="Q33" s="41">
        <v>2</v>
      </c>
      <c r="R33" s="41">
        <v>1.6</v>
      </c>
      <c r="S33" s="41">
        <v>1.5</v>
      </c>
      <c r="T33" s="41">
        <v>3</v>
      </c>
      <c r="U33" s="41">
        <v>4.5999999999999996</v>
      </c>
      <c r="V33" s="41">
        <v>5.2</v>
      </c>
      <c r="W33" s="41">
        <v>3.9</v>
      </c>
      <c r="X33" s="41">
        <v>4.8</v>
      </c>
      <c r="Y33" s="41">
        <v>4.2</v>
      </c>
    </row>
    <row r="34" spans="1:25" ht="12.65" customHeight="1">
      <c r="A34" s="32" t="s">
        <v>33</v>
      </c>
      <c r="B34" s="40" t="s">
        <v>47</v>
      </c>
      <c r="C34" s="41">
        <v>11.5</v>
      </c>
      <c r="D34" s="41">
        <v>20.5</v>
      </c>
      <c r="E34" s="41">
        <v>11</v>
      </c>
      <c r="F34" s="41">
        <v>10.4</v>
      </c>
      <c r="G34" s="41">
        <v>9.4</v>
      </c>
      <c r="H34" s="41">
        <v>9.6</v>
      </c>
      <c r="I34" s="41">
        <v>7.7</v>
      </c>
      <c r="J34" s="41">
        <v>8.4</v>
      </c>
      <c r="K34" s="41">
        <v>6.3</v>
      </c>
      <c r="L34" s="41">
        <v>6.7</v>
      </c>
      <c r="M34" s="41">
        <v>6.9</v>
      </c>
      <c r="N34" s="41">
        <v>4.0999999999999996</v>
      </c>
      <c r="O34" s="41">
        <v>8.1</v>
      </c>
      <c r="P34" s="41">
        <v>5.2</v>
      </c>
      <c r="Q34" s="41">
        <v>2.5</v>
      </c>
      <c r="R34" s="41">
        <v>5.7</v>
      </c>
      <c r="S34" s="41">
        <v>4</v>
      </c>
      <c r="T34" s="41">
        <v>5.4</v>
      </c>
      <c r="U34" s="41">
        <v>8.4</v>
      </c>
      <c r="V34" s="41">
        <v>5.9</v>
      </c>
      <c r="W34" s="41">
        <v>6</v>
      </c>
      <c r="X34" s="41">
        <v>3</v>
      </c>
      <c r="Y34" s="41">
        <v>1.2</v>
      </c>
    </row>
    <row r="35" spans="1:25" ht="12.65" customHeight="1">
      <c r="A35" s="33" t="s">
        <v>34</v>
      </c>
      <c r="B35" s="40" t="s">
        <v>47</v>
      </c>
      <c r="C35" s="41">
        <v>14.5</v>
      </c>
      <c r="D35" s="41">
        <v>26.9</v>
      </c>
      <c r="E35" s="41">
        <v>18.100000000000001</v>
      </c>
      <c r="F35" s="41">
        <v>9.9</v>
      </c>
      <c r="G35" s="41">
        <v>6.1</v>
      </c>
      <c r="H35" s="41">
        <v>6.4</v>
      </c>
      <c r="I35" s="41">
        <v>10.199999999999999</v>
      </c>
      <c r="J35" s="41">
        <v>11.1</v>
      </c>
      <c r="K35" s="41">
        <v>10.5</v>
      </c>
      <c r="L35" s="41">
        <v>5.5</v>
      </c>
      <c r="M35" s="41">
        <v>10.4</v>
      </c>
      <c r="N35" s="41">
        <v>8.1999999999999993</v>
      </c>
      <c r="O35" s="41">
        <v>7.8</v>
      </c>
      <c r="P35" s="41">
        <v>5.3</v>
      </c>
      <c r="Q35" s="41">
        <v>5.8</v>
      </c>
      <c r="R35" s="41">
        <v>4.5999999999999996</v>
      </c>
      <c r="S35" s="41">
        <v>3.7</v>
      </c>
      <c r="T35" s="41">
        <v>4.3</v>
      </c>
      <c r="U35" s="41">
        <v>6.4</v>
      </c>
      <c r="V35" s="41">
        <v>5.2</v>
      </c>
      <c r="W35" s="41">
        <v>5.6</v>
      </c>
      <c r="X35" s="41">
        <v>5.5</v>
      </c>
      <c r="Y35" s="41">
        <v>7.7</v>
      </c>
    </row>
    <row r="36" spans="1:25" ht="12.65" customHeight="1">
      <c r="A36" s="33" t="s">
        <v>35</v>
      </c>
      <c r="B36" s="40" t="s">
        <v>47</v>
      </c>
      <c r="C36" s="41">
        <v>17.399999999999999</v>
      </c>
      <c r="D36" s="41">
        <v>14.2</v>
      </c>
      <c r="E36" s="41">
        <v>11.4</v>
      </c>
      <c r="F36" s="41">
        <v>6.6</v>
      </c>
      <c r="G36" s="41">
        <v>6.7</v>
      </c>
      <c r="H36" s="41">
        <v>4.0999999999999996</v>
      </c>
      <c r="I36" s="41">
        <v>5.9</v>
      </c>
      <c r="J36" s="41">
        <v>5</v>
      </c>
      <c r="K36" s="41">
        <v>6</v>
      </c>
      <c r="L36" s="41">
        <v>4</v>
      </c>
      <c r="M36" s="41">
        <v>7.8</v>
      </c>
      <c r="N36" s="41">
        <v>4.4000000000000004</v>
      </c>
      <c r="O36" s="41">
        <v>3.6</v>
      </c>
      <c r="P36" s="41">
        <v>3.9</v>
      </c>
      <c r="Q36" s="41">
        <v>3.5</v>
      </c>
      <c r="R36" s="41">
        <v>1.4</v>
      </c>
      <c r="S36" s="41">
        <v>0.8</v>
      </c>
      <c r="T36" s="41">
        <v>2.4</v>
      </c>
      <c r="U36" s="41">
        <v>2.6</v>
      </c>
      <c r="V36" s="41">
        <v>3.3</v>
      </c>
      <c r="W36" s="41">
        <v>1.2</v>
      </c>
      <c r="X36" s="41">
        <v>2.2999999999999998</v>
      </c>
      <c r="Y36" s="41">
        <v>3.3</v>
      </c>
    </row>
    <row r="37" spans="1:25" ht="11.5" customHeight="1">
      <c r="A37" s="33" t="s">
        <v>36</v>
      </c>
      <c r="B37" s="40" t="s">
        <v>47</v>
      </c>
      <c r="C37" s="41">
        <v>7.3</v>
      </c>
      <c r="D37" s="41">
        <v>8.9</v>
      </c>
      <c r="E37" s="41">
        <v>12.1</v>
      </c>
      <c r="F37" s="41">
        <v>9.1</v>
      </c>
      <c r="G37" s="41">
        <v>10.8</v>
      </c>
      <c r="H37" s="41">
        <v>13.2</v>
      </c>
      <c r="I37" s="41">
        <v>10.7</v>
      </c>
      <c r="J37" s="41">
        <v>8.6999999999999993</v>
      </c>
      <c r="K37" s="41">
        <v>7.1</v>
      </c>
      <c r="L37" s="41">
        <v>9.3000000000000007</v>
      </c>
      <c r="M37" s="41">
        <v>5.9</v>
      </c>
      <c r="N37" s="41">
        <v>2.4</v>
      </c>
      <c r="O37" s="41">
        <v>3.3</v>
      </c>
      <c r="P37" s="41">
        <v>0.6</v>
      </c>
      <c r="Q37" s="41">
        <v>2.4</v>
      </c>
      <c r="R37" s="41">
        <v>2.2999999999999998</v>
      </c>
      <c r="S37" s="41">
        <v>2.6</v>
      </c>
      <c r="T37" s="41">
        <v>10.6</v>
      </c>
      <c r="U37" s="41">
        <v>7.9</v>
      </c>
      <c r="V37" s="41">
        <v>2.4</v>
      </c>
      <c r="W37" s="41">
        <v>2.5</v>
      </c>
      <c r="X37" s="41">
        <v>3.9</v>
      </c>
      <c r="Y37" s="41">
        <v>5.6</v>
      </c>
    </row>
    <row r="38" spans="1:25" ht="11.5" customHeight="1">
      <c r="A38" s="33" t="s">
        <v>37</v>
      </c>
      <c r="B38" s="40" t="s">
        <v>47</v>
      </c>
      <c r="C38" s="41">
        <v>7.5</v>
      </c>
      <c r="D38" s="41">
        <v>8.1999999999999993</v>
      </c>
      <c r="E38" s="41">
        <v>12.8</v>
      </c>
      <c r="F38" s="41">
        <v>11.7</v>
      </c>
      <c r="G38" s="41">
        <v>15.2</v>
      </c>
      <c r="H38" s="41">
        <v>13.7</v>
      </c>
      <c r="I38" s="41">
        <v>12.4</v>
      </c>
      <c r="J38" s="41">
        <v>8.9</v>
      </c>
      <c r="K38" s="41">
        <v>6.6</v>
      </c>
      <c r="L38" s="41">
        <v>9.4</v>
      </c>
      <c r="M38" s="41">
        <v>4.9000000000000004</v>
      </c>
      <c r="N38" s="41">
        <v>2.1</v>
      </c>
      <c r="O38" s="41">
        <v>4.0999999999999996</v>
      </c>
      <c r="P38" s="41">
        <v>-0.3</v>
      </c>
      <c r="Q38" s="41">
        <v>1.2</v>
      </c>
      <c r="R38" s="41">
        <v>0.3</v>
      </c>
      <c r="S38" s="41">
        <v>2.2000000000000002</v>
      </c>
      <c r="T38" s="41">
        <v>13.5</v>
      </c>
      <c r="U38" s="41">
        <v>8.8000000000000007</v>
      </c>
      <c r="V38" s="41">
        <v>1.7</v>
      </c>
      <c r="W38" s="41">
        <v>2.2000000000000002</v>
      </c>
      <c r="X38" s="41">
        <v>3.8</v>
      </c>
      <c r="Y38" s="41">
        <v>5.7</v>
      </c>
    </row>
    <row r="39" spans="1:25" ht="11.5" customHeight="1">
      <c r="A39" s="32" t="s">
        <v>38</v>
      </c>
      <c r="B39" s="40" t="s">
        <v>47</v>
      </c>
      <c r="C39" s="41">
        <v>9</v>
      </c>
      <c r="D39" s="41">
        <v>8.8000000000000007</v>
      </c>
      <c r="E39" s="41">
        <v>13</v>
      </c>
      <c r="F39" s="41">
        <v>6.6</v>
      </c>
      <c r="G39" s="41">
        <v>-2.6</v>
      </c>
      <c r="H39" s="41">
        <v>16.899999999999999</v>
      </c>
      <c r="I39" s="41">
        <v>3.6</v>
      </c>
      <c r="J39" s="41">
        <v>8.1</v>
      </c>
      <c r="K39" s="41">
        <v>8.9</v>
      </c>
      <c r="L39" s="41">
        <v>9.5</v>
      </c>
      <c r="M39" s="41">
        <v>9.3000000000000007</v>
      </c>
      <c r="N39" s="41">
        <v>-1.5</v>
      </c>
      <c r="O39" s="41">
        <v>-2.9</v>
      </c>
      <c r="P39" s="41">
        <v>-3.3</v>
      </c>
      <c r="Q39" s="41">
        <v>1.6</v>
      </c>
      <c r="R39" s="41">
        <v>6.8</v>
      </c>
      <c r="S39" s="41">
        <v>3.8</v>
      </c>
      <c r="T39" s="41">
        <v>3.6</v>
      </c>
      <c r="U39" s="41">
        <v>4.8</v>
      </c>
      <c r="V39" s="41">
        <v>4.4000000000000004</v>
      </c>
      <c r="W39" s="41">
        <v>2.9</v>
      </c>
      <c r="X39" s="41">
        <v>4.7</v>
      </c>
      <c r="Y39" s="41">
        <v>5</v>
      </c>
    </row>
    <row r="40" spans="1:25" ht="11.5" customHeight="1">
      <c r="A40" s="32" t="s">
        <v>39</v>
      </c>
      <c r="B40" s="40" t="s">
        <v>47</v>
      </c>
      <c r="C40" s="41">
        <v>5.9</v>
      </c>
      <c r="D40" s="41">
        <v>10.5</v>
      </c>
      <c r="E40" s="41">
        <v>10</v>
      </c>
      <c r="F40" s="41">
        <v>3.1</v>
      </c>
      <c r="G40" s="41">
        <v>3.4</v>
      </c>
      <c r="H40" s="41">
        <v>7.1</v>
      </c>
      <c r="I40" s="41">
        <v>8.6999999999999993</v>
      </c>
      <c r="J40" s="41">
        <v>7.9</v>
      </c>
      <c r="K40" s="41">
        <v>8.5</v>
      </c>
      <c r="L40" s="41">
        <v>8.9</v>
      </c>
      <c r="M40" s="41">
        <v>8</v>
      </c>
      <c r="N40" s="41">
        <v>8.6</v>
      </c>
      <c r="O40" s="41">
        <v>5.0999999999999996</v>
      </c>
      <c r="P40" s="41">
        <v>8.8000000000000007</v>
      </c>
      <c r="Q40" s="41">
        <v>9.1999999999999993</v>
      </c>
      <c r="R40" s="41">
        <v>8.1999999999999993</v>
      </c>
      <c r="S40" s="41">
        <v>3.2</v>
      </c>
      <c r="T40" s="41">
        <v>3.7</v>
      </c>
      <c r="U40" s="41">
        <v>5.7</v>
      </c>
      <c r="V40" s="41">
        <v>4.3</v>
      </c>
      <c r="W40" s="41">
        <v>3.6</v>
      </c>
      <c r="X40" s="41">
        <v>3.8</v>
      </c>
      <c r="Y40" s="41">
        <v>5.6</v>
      </c>
    </row>
    <row r="41" spans="1:25" ht="12.65" customHeight="1">
      <c r="A41" s="34" t="s">
        <v>40</v>
      </c>
      <c r="B41" s="40" t="s">
        <v>47</v>
      </c>
      <c r="C41" s="41">
        <v>30</v>
      </c>
      <c r="D41" s="41">
        <v>14.1</v>
      </c>
      <c r="E41" s="41">
        <v>10</v>
      </c>
      <c r="F41" s="41">
        <v>9</v>
      </c>
      <c r="G41" s="41">
        <v>14.7</v>
      </c>
      <c r="H41" s="41">
        <v>15.1</v>
      </c>
      <c r="I41" s="41">
        <v>11.4</v>
      </c>
      <c r="J41" s="41">
        <v>7.6</v>
      </c>
      <c r="K41" s="41">
        <v>4.3</v>
      </c>
      <c r="L41" s="41">
        <v>1.9</v>
      </c>
      <c r="M41" s="41">
        <v>1.4</v>
      </c>
      <c r="N41" s="41">
        <v>0.4</v>
      </c>
      <c r="O41" s="41">
        <v>1.2</v>
      </c>
      <c r="P41" s="41">
        <v>1.9</v>
      </c>
      <c r="Q41" s="41">
        <v>9</v>
      </c>
      <c r="R41" s="41">
        <v>3.9</v>
      </c>
      <c r="S41" s="41">
        <v>9.6999999999999993</v>
      </c>
      <c r="T41" s="41">
        <v>12.7</v>
      </c>
      <c r="U41" s="41">
        <v>1.2</v>
      </c>
      <c r="V41" s="41">
        <v>5.2</v>
      </c>
      <c r="W41" s="41">
        <v>0</v>
      </c>
      <c r="X41" s="41">
        <v>5.0999999999999996</v>
      </c>
      <c r="Y41" s="41">
        <v>3.5</v>
      </c>
    </row>
    <row r="42" spans="1:25" ht="12.65" customHeight="1">
      <c r="A42" s="34" t="s">
        <v>41</v>
      </c>
      <c r="B42" s="40" t="s">
        <v>47</v>
      </c>
      <c r="C42" s="41">
        <v>6.4</v>
      </c>
      <c r="D42" s="41">
        <v>17.2</v>
      </c>
      <c r="E42" s="41">
        <v>13</v>
      </c>
      <c r="F42" s="41">
        <v>7.3</v>
      </c>
      <c r="G42" s="41">
        <v>10.7</v>
      </c>
      <c r="H42" s="41">
        <v>26.9</v>
      </c>
      <c r="I42" s="41">
        <v>19.399999999999999</v>
      </c>
      <c r="J42" s="41">
        <v>7</v>
      </c>
      <c r="K42" s="41">
        <v>7.2</v>
      </c>
      <c r="L42" s="41">
        <v>11.6</v>
      </c>
      <c r="M42" s="41">
        <v>4.8</v>
      </c>
      <c r="N42" s="41">
        <v>-3.2</v>
      </c>
      <c r="O42" s="41">
        <v>-1.3</v>
      </c>
      <c r="P42" s="41">
        <v>11</v>
      </c>
      <c r="Q42" s="41">
        <v>3.6</v>
      </c>
      <c r="R42" s="41">
        <v>3.8</v>
      </c>
      <c r="S42" s="41">
        <v>4.4000000000000004</v>
      </c>
      <c r="T42" s="41">
        <v>12</v>
      </c>
      <c r="U42" s="41">
        <v>5.6</v>
      </c>
      <c r="V42" s="41">
        <v>5.8</v>
      </c>
      <c r="W42" s="41">
        <v>4</v>
      </c>
      <c r="X42" s="41">
        <v>13.9</v>
      </c>
      <c r="Y42" s="41">
        <v>-3.8</v>
      </c>
    </row>
    <row r="43" spans="1:25" ht="11.5" customHeight="1">
      <c r="A43" s="33" t="s">
        <v>42</v>
      </c>
      <c r="B43" s="40" t="s">
        <v>47</v>
      </c>
      <c r="C43" s="41">
        <v>13.8</v>
      </c>
      <c r="D43" s="41">
        <v>16.899999999999999</v>
      </c>
      <c r="E43" s="41">
        <v>12</v>
      </c>
      <c r="F43" s="41">
        <v>8</v>
      </c>
      <c r="G43" s="41">
        <v>8.6999999999999993</v>
      </c>
      <c r="H43" s="41">
        <v>11.6</v>
      </c>
      <c r="I43" s="41">
        <v>3.9</v>
      </c>
      <c r="J43" s="41">
        <v>1.3</v>
      </c>
      <c r="K43" s="41">
        <v>4.2</v>
      </c>
      <c r="L43" s="41">
        <v>6.4</v>
      </c>
      <c r="M43" s="41">
        <v>8.3000000000000007</v>
      </c>
      <c r="N43" s="41">
        <v>8.5</v>
      </c>
      <c r="O43" s="41">
        <v>3.7</v>
      </c>
      <c r="P43" s="41">
        <v>2</v>
      </c>
      <c r="Q43" s="41">
        <v>-1.7</v>
      </c>
      <c r="R43" s="41">
        <v>3.7</v>
      </c>
      <c r="S43" s="41">
        <v>5.6</v>
      </c>
      <c r="T43" s="41">
        <v>3.5</v>
      </c>
      <c r="U43" s="41">
        <v>1.6</v>
      </c>
      <c r="V43" s="41">
        <v>3.2</v>
      </c>
      <c r="W43" s="41">
        <v>4.0999999999999996</v>
      </c>
      <c r="X43" s="41">
        <v>2.6</v>
      </c>
      <c r="Y43" s="41">
        <v>3.5</v>
      </c>
    </row>
    <row r="44" spans="1:25" ht="11.5" customHeight="1">
      <c r="A44" s="35" t="s">
        <v>43</v>
      </c>
      <c r="B44" s="40" t="s">
        <v>47</v>
      </c>
      <c r="C44" s="41">
        <v>11.7</v>
      </c>
      <c r="D44" s="41">
        <v>10.3</v>
      </c>
      <c r="E44" s="41">
        <v>9</v>
      </c>
      <c r="F44" s="41">
        <v>5.8</v>
      </c>
      <c r="G44" s="41">
        <v>5</v>
      </c>
      <c r="H44" s="41">
        <v>12.8</v>
      </c>
      <c r="I44" s="41">
        <v>7</v>
      </c>
      <c r="J44" s="41">
        <v>7.7</v>
      </c>
      <c r="K44" s="41">
        <v>7.4</v>
      </c>
      <c r="L44" s="41">
        <v>5.9</v>
      </c>
      <c r="M44" s="41">
        <v>9.9</v>
      </c>
      <c r="N44" s="41">
        <v>6.9</v>
      </c>
      <c r="O44" s="41">
        <v>-5.8</v>
      </c>
      <c r="P44" s="41">
        <v>3.3</v>
      </c>
      <c r="Q44" s="41">
        <v>4.4000000000000004</v>
      </c>
      <c r="R44" s="41">
        <v>2.8</v>
      </c>
      <c r="S44" s="41">
        <v>0</v>
      </c>
      <c r="T44" s="41">
        <v>-2.2000000000000002</v>
      </c>
      <c r="U44" s="41">
        <v>2.8</v>
      </c>
      <c r="V44" s="41">
        <v>1.8</v>
      </c>
      <c r="W44" s="41">
        <v>8.6999999999999993</v>
      </c>
      <c r="X44" s="41">
        <v>4.8</v>
      </c>
      <c r="Y44" s="41">
        <v>6</v>
      </c>
    </row>
    <row r="45" spans="1:25" ht="12.65" customHeight="1">
      <c r="A45" s="32" t="s">
        <v>44</v>
      </c>
      <c r="B45" s="40" t="s">
        <v>47</v>
      </c>
      <c r="C45" s="41">
        <v>10.9</v>
      </c>
      <c r="D45" s="41">
        <v>10.8</v>
      </c>
      <c r="E45" s="41">
        <v>8.9</v>
      </c>
      <c r="F45" s="41">
        <v>7.2</v>
      </c>
      <c r="G45" s="41">
        <v>11.9</v>
      </c>
      <c r="H45" s="41">
        <v>12.3</v>
      </c>
      <c r="I45" s="41">
        <v>8.8000000000000007</v>
      </c>
      <c r="J45" s="41">
        <v>10.7</v>
      </c>
      <c r="K45" s="41">
        <v>4.5</v>
      </c>
      <c r="L45" s="41">
        <v>2.1</v>
      </c>
      <c r="M45" s="41">
        <v>3.4</v>
      </c>
      <c r="N45" s="41">
        <v>4</v>
      </c>
      <c r="O45" s="41">
        <v>2.4</v>
      </c>
      <c r="P45" s="41">
        <v>8.3000000000000007</v>
      </c>
      <c r="Q45" s="41">
        <v>0.9</v>
      </c>
      <c r="R45" s="41">
        <v>-2.4</v>
      </c>
      <c r="S45" s="41">
        <v>-3.5</v>
      </c>
      <c r="T45" s="41">
        <v>-1.4</v>
      </c>
      <c r="U45" s="41">
        <v>0.8</v>
      </c>
      <c r="V45" s="41">
        <v>2.1</v>
      </c>
      <c r="W45" s="41">
        <v>6.2</v>
      </c>
      <c r="X45" s="41">
        <v>6.6</v>
      </c>
      <c r="Y45" s="41">
        <v>5.5</v>
      </c>
    </row>
    <row r="46" spans="1:25" ht="11.5" customHeight="1">
      <c r="A46" s="21" t="s">
        <v>45</v>
      </c>
      <c r="B46" s="42" t="s">
        <v>47</v>
      </c>
      <c r="C46" s="43">
        <v>11.9</v>
      </c>
      <c r="D46" s="43">
        <v>10.1</v>
      </c>
      <c r="E46" s="43">
        <v>9</v>
      </c>
      <c r="F46" s="43">
        <v>5.3</v>
      </c>
      <c r="G46" s="43">
        <v>2.1</v>
      </c>
      <c r="H46" s="43">
        <v>13</v>
      </c>
      <c r="I46" s="43">
        <v>6.2</v>
      </c>
      <c r="J46" s="43">
        <v>6.3</v>
      </c>
      <c r="K46" s="43">
        <v>8.8000000000000007</v>
      </c>
      <c r="L46" s="43">
        <v>7.8</v>
      </c>
      <c r="M46" s="43">
        <v>12.9</v>
      </c>
      <c r="N46" s="43">
        <v>8.1</v>
      </c>
      <c r="O46" s="43">
        <v>-9.1</v>
      </c>
      <c r="P46" s="43">
        <v>1.1000000000000001</v>
      </c>
      <c r="Q46" s="43">
        <v>6</v>
      </c>
      <c r="R46" s="43">
        <v>5.0999999999999996</v>
      </c>
      <c r="S46" s="43">
        <v>1.4</v>
      </c>
      <c r="T46" s="43">
        <v>-2.5</v>
      </c>
      <c r="U46" s="43">
        <v>3.6</v>
      </c>
      <c r="V46" s="43">
        <v>1.8</v>
      </c>
      <c r="W46" s="43">
        <v>9.6</v>
      </c>
      <c r="X46" s="43">
        <v>4.0999999999999996</v>
      </c>
      <c r="Y46" s="43">
        <v>6.3</v>
      </c>
    </row>
    <row r="47" spans="1:25" ht="24" customHeight="1">
      <c r="A47" s="44" t="s">
        <v>48</v>
      </c>
      <c r="B47" s="44"/>
      <c r="C47" s="44"/>
      <c r="D47" s="44"/>
      <c r="E47" s="44"/>
      <c r="F47" s="44"/>
      <c r="G47" s="44"/>
      <c r="H47" s="44"/>
      <c r="I47" s="44"/>
      <c r="J47" s="44"/>
      <c r="K47" s="44"/>
      <c r="L47" s="44"/>
      <c r="M47" s="44"/>
      <c r="N47" s="44"/>
      <c r="O47" s="44"/>
      <c r="P47" s="44"/>
      <c r="Q47" s="44"/>
      <c r="R47" s="44"/>
      <c r="S47" s="44"/>
      <c r="T47" s="44"/>
      <c r="U47" s="19"/>
      <c r="V47" s="19"/>
      <c r="W47" s="19"/>
      <c r="X47" s="19"/>
      <c r="Y47" s="19"/>
    </row>
    <row r="48" spans="1:25" ht="10.5" customHeight="1">
      <c r="A48" s="45" t="s">
        <v>23</v>
      </c>
      <c r="B48" s="23">
        <v>1960</v>
      </c>
      <c r="C48" s="23">
        <v>1970</v>
      </c>
      <c r="D48" s="23">
        <v>1980</v>
      </c>
      <c r="E48" s="23">
        <v>1990</v>
      </c>
      <c r="F48" s="23">
        <v>2000</v>
      </c>
      <c r="G48" s="23">
        <v>2001</v>
      </c>
      <c r="H48" s="23">
        <v>2002</v>
      </c>
      <c r="I48" s="23">
        <v>2003</v>
      </c>
      <c r="J48" s="23">
        <v>2004</v>
      </c>
      <c r="K48" s="23">
        <v>2005</v>
      </c>
      <c r="L48" s="23">
        <v>2006</v>
      </c>
      <c r="M48" s="23">
        <v>2007</v>
      </c>
      <c r="N48" s="23">
        <v>2008</v>
      </c>
      <c r="O48" s="23">
        <v>2009</v>
      </c>
      <c r="P48" s="23">
        <v>2010</v>
      </c>
      <c r="Q48" s="23">
        <v>2011</v>
      </c>
      <c r="R48" s="23">
        <v>2012</v>
      </c>
      <c r="S48" s="23">
        <v>2013</v>
      </c>
      <c r="T48" s="23">
        <v>2014</v>
      </c>
      <c r="U48" s="23">
        <v>2015</v>
      </c>
      <c r="V48" s="23">
        <v>2016</v>
      </c>
      <c r="W48" s="23">
        <v>2017</v>
      </c>
      <c r="X48" s="23">
        <v>2018</v>
      </c>
      <c r="Y48" s="23">
        <v>2019</v>
      </c>
    </row>
    <row r="49" spans="1:25" ht="10.5" customHeight="1">
      <c r="A49" s="32"/>
      <c r="B49" s="46" t="s">
        <v>49</v>
      </c>
      <c r="C49" s="47"/>
      <c r="D49" s="47"/>
      <c r="E49" s="47"/>
      <c r="F49" s="27"/>
      <c r="G49" s="47"/>
      <c r="H49" s="19"/>
      <c r="I49" s="47"/>
      <c r="J49" s="47"/>
      <c r="K49" s="47"/>
      <c r="L49" s="47"/>
      <c r="M49" s="47"/>
      <c r="N49" s="47"/>
      <c r="O49" s="47"/>
      <c r="P49" s="27"/>
      <c r="Q49" s="27"/>
      <c r="R49" s="47"/>
      <c r="S49" s="48"/>
      <c r="T49" s="47"/>
      <c r="U49" s="49"/>
      <c r="V49" s="49"/>
      <c r="W49" s="49"/>
      <c r="X49" s="49"/>
      <c r="Y49" s="49"/>
    </row>
    <row r="50" spans="1:25" ht="11.5" customHeight="1">
      <c r="A50" s="29" t="s">
        <v>25</v>
      </c>
      <c r="B50" s="39">
        <v>1</v>
      </c>
      <c r="C50" s="39">
        <v>1</v>
      </c>
      <c r="D50" s="39">
        <v>1</v>
      </c>
      <c r="E50" s="39">
        <v>1</v>
      </c>
      <c r="F50" s="39">
        <v>1</v>
      </c>
      <c r="G50" s="39">
        <v>1</v>
      </c>
      <c r="H50" s="39">
        <v>1</v>
      </c>
      <c r="I50" s="39">
        <v>1</v>
      </c>
      <c r="J50" s="39">
        <v>1</v>
      </c>
      <c r="K50" s="39">
        <v>1</v>
      </c>
      <c r="L50" s="39">
        <v>1</v>
      </c>
      <c r="M50" s="39">
        <v>1</v>
      </c>
      <c r="N50" s="39">
        <v>1</v>
      </c>
      <c r="O50" s="39">
        <v>1</v>
      </c>
      <c r="P50" s="39">
        <v>1</v>
      </c>
      <c r="Q50" s="39">
        <v>1</v>
      </c>
      <c r="R50" s="39">
        <v>1</v>
      </c>
      <c r="S50" s="39">
        <v>1</v>
      </c>
      <c r="T50" s="39">
        <v>1</v>
      </c>
      <c r="U50" s="39">
        <v>1</v>
      </c>
      <c r="V50" s="39">
        <v>1</v>
      </c>
      <c r="W50" s="39">
        <v>1</v>
      </c>
      <c r="X50" s="39">
        <v>1</v>
      </c>
      <c r="Y50" s="39">
        <v>1</v>
      </c>
    </row>
    <row r="51" spans="1:25" ht="11.5" customHeight="1">
      <c r="A51" s="29" t="s">
        <v>26</v>
      </c>
      <c r="B51" s="31">
        <v>90.5</v>
      </c>
      <c r="C51" s="31">
        <v>89.5</v>
      </c>
      <c r="D51" s="31">
        <v>91.9</v>
      </c>
      <c r="E51" s="31">
        <v>93.2</v>
      </c>
      <c r="F51" s="31">
        <v>93.7</v>
      </c>
      <c r="G51" s="31">
        <v>93.9</v>
      </c>
      <c r="H51" s="31">
        <v>93.8</v>
      </c>
      <c r="I51" s="31">
        <v>93.9</v>
      </c>
      <c r="J51" s="31">
        <v>93.8</v>
      </c>
      <c r="K51" s="31">
        <v>93.8</v>
      </c>
      <c r="L51" s="31">
        <v>93.9</v>
      </c>
      <c r="M51" s="31">
        <v>93.7</v>
      </c>
      <c r="N51" s="31">
        <v>93.5</v>
      </c>
      <c r="O51" s="31">
        <v>94.1</v>
      </c>
      <c r="P51" s="31">
        <v>94.1</v>
      </c>
      <c r="Q51" s="31">
        <v>94.1</v>
      </c>
      <c r="R51" s="31">
        <v>94.1</v>
      </c>
      <c r="S51" s="31">
        <v>94.3</v>
      </c>
      <c r="T51" s="31">
        <v>94.7</v>
      </c>
      <c r="U51" s="31">
        <v>94.8</v>
      </c>
      <c r="V51" s="31">
        <v>95</v>
      </c>
      <c r="W51" s="31">
        <v>94.8</v>
      </c>
      <c r="X51" s="31">
        <v>94.8</v>
      </c>
      <c r="Y51" s="31">
        <v>94.7</v>
      </c>
    </row>
    <row r="52" spans="1:25" ht="11.5" customHeight="1">
      <c r="A52" s="32" t="s">
        <v>27</v>
      </c>
      <c r="B52" s="31">
        <v>85.3</v>
      </c>
      <c r="C52" s="31">
        <v>84.2</v>
      </c>
      <c r="D52" s="31">
        <v>84.6</v>
      </c>
      <c r="E52" s="31">
        <v>85.1</v>
      </c>
      <c r="F52" s="31">
        <v>84.7</v>
      </c>
      <c r="G52" s="31">
        <v>84.8</v>
      </c>
      <c r="H52" s="31">
        <v>83.8</v>
      </c>
      <c r="I52" s="31">
        <v>83.4</v>
      </c>
      <c r="J52" s="31">
        <v>83.6</v>
      </c>
      <c r="K52" s="31">
        <v>83.6</v>
      </c>
      <c r="L52" s="31">
        <v>83.5</v>
      </c>
      <c r="M52" s="31">
        <v>83.4</v>
      </c>
      <c r="N52" s="31">
        <v>83.6</v>
      </c>
      <c r="O52" s="31">
        <v>84.5</v>
      </c>
      <c r="P52" s="31">
        <v>84.2</v>
      </c>
      <c r="Q52" s="31">
        <v>84.2</v>
      </c>
      <c r="R52" s="31">
        <v>84.3</v>
      </c>
      <c r="S52" s="31">
        <v>84.2</v>
      </c>
      <c r="T52" s="31">
        <v>84.2</v>
      </c>
      <c r="U52" s="31">
        <v>84.5</v>
      </c>
      <c r="V52" s="31">
        <v>84.6</v>
      </c>
      <c r="W52" s="31">
        <v>84.5</v>
      </c>
      <c r="X52" s="31">
        <v>84</v>
      </c>
      <c r="Y52" s="31">
        <v>84.5</v>
      </c>
    </row>
    <row r="53" spans="1:25" ht="11.5" customHeight="1">
      <c r="A53" s="33" t="s">
        <v>28</v>
      </c>
      <c r="B53" s="31">
        <v>33.1</v>
      </c>
      <c r="C53" s="31">
        <v>36.700000000000003</v>
      </c>
      <c r="D53" s="31">
        <v>39.700000000000003</v>
      </c>
      <c r="E53" s="31">
        <v>34.799999999999997</v>
      </c>
      <c r="F53" s="31">
        <v>30.4</v>
      </c>
      <c r="G53" s="31">
        <v>30.3</v>
      </c>
      <c r="H53" s="31">
        <v>29.8</v>
      </c>
      <c r="I53" s="31">
        <v>29.7</v>
      </c>
      <c r="J53" s="31">
        <v>29.8</v>
      </c>
      <c r="K53" s="31">
        <v>30</v>
      </c>
      <c r="L53" s="31">
        <v>30.1</v>
      </c>
      <c r="M53" s="31">
        <v>30</v>
      </c>
      <c r="N53" s="31">
        <v>30</v>
      </c>
      <c r="O53" s="31">
        <v>30.9</v>
      </c>
      <c r="P53" s="31">
        <v>31.2</v>
      </c>
      <c r="Q53" s="31">
        <v>31.1</v>
      </c>
      <c r="R53" s="31">
        <v>31.5</v>
      </c>
      <c r="S53" s="31">
        <v>31.7</v>
      </c>
      <c r="T53" s="31">
        <v>31.3</v>
      </c>
      <c r="U53" s="31">
        <v>31.1</v>
      </c>
      <c r="V53" s="31">
        <v>31.1</v>
      </c>
      <c r="W53" s="31">
        <v>31.1</v>
      </c>
      <c r="X53" s="31">
        <v>30.9</v>
      </c>
      <c r="Y53" s="31">
        <v>31.4</v>
      </c>
    </row>
    <row r="54" spans="1:25" ht="11.5" customHeight="1">
      <c r="A54" s="33" t="s">
        <v>29</v>
      </c>
      <c r="B54" s="31">
        <v>29.2</v>
      </c>
      <c r="C54" s="31">
        <v>26.7</v>
      </c>
      <c r="D54" s="31">
        <v>25.5</v>
      </c>
      <c r="E54" s="31">
        <v>28.9</v>
      </c>
      <c r="F54" s="31">
        <v>28.3</v>
      </c>
      <c r="G54" s="31">
        <v>28.4</v>
      </c>
      <c r="H54" s="31">
        <v>27.9</v>
      </c>
      <c r="I54" s="31">
        <v>27.5</v>
      </c>
      <c r="J54" s="31">
        <v>27.5</v>
      </c>
      <c r="K54" s="31">
        <v>27.2</v>
      </c>
      <c r="L54" s="31">
        <v>26.9</v>
      </c>
      <c r="M54" s="31">
        <v>26.7</v>
      </c>
      <c r="N54" s="31">
        <v>27</v>
      </c>
      <c r="O54" s="31">
        <v>26.8</v>
      </c>
      <c r="P54" s="31">
        <v>26.6</v>
      </c>
      <c r="Q54" s="31">
        <v>26.8</v>
      </c>
      <c r="R54" s="31">
        <v>26.7</v>
      </c>
      <c r="S54" s="31">
        <v>26.5</v>
      </c>
      <c r="T54" s="31">
        <v>26.4</v>
      </c>
      <c r="U54" s="31">
        <v>26.5</v>
      </c>
      <c r="V54" s="31">
        <v>26.9</v>
      </c>
      <c r="W54" s="31">
        <v>27</v>
      </c>
      <c r="X54" s="31">
        <v>27</v>
      </c>
      <c r="Y54" s="31">
        <v>27</v>
      </c>
    </row>
    <row r="55" spans="1:25" ht="11.5" customHeight="1">
      <c r="A55" s="32" t="s">
        <v>30</v>
      </c>
      <c r="B55" s="31">
        <v>20.5</v>
      </c>
      <c r="C55" s="31">
        <v>19.3</v>
      </c>
      <c r="D55" s="31">
        <v>18.8</v>
      </c>
      <c r="E55" s="31">
        <v>22.1</v>
      </c>
      <c r="F55" s="31">
        <v>21.1</v>
      </c>
      <c r="G55" s="31">
        <v>21.1</v>
      </c>
      <c r="H55" s="31">
        <v>20.7</v>
      </c>
      <c r="I55" s="31">
        <v>20.6</v>
      </c>
      <c r="J55" s="31">
        <v>20.5</v>
      </c>
      <c r="K55" s="31">
        <v>20.399999999999999</v>
      </c>
      <c r="L55" s="31">
        <v>20.100000000000001</v>
      </c>
      <c r="M55" s="31">
        <v>19.8</v>
      </c>
      <c r="N55" s="31">
        <v>20.100000000000001</v>
      </c>
      <c r="O55" s="31">
        <v>20</v>
      </c>
      <c r="P55" s="31">
        <v>19.8</v>
      </c>
      <c r="Q55" s="31">
        <v>20</v>
      </c>
      <c r="R55" s="31">
        <v>20</v>
      </c>
      <c r="S55" s="31">
        <v>19.899999999999999</v>
      </c>
      <c r="T55" s="31">
        <v>19.8</v>
      </c>
      <c r="U55" s="31">
        <v>20</v>
      </c>
      <c r="V55" s="31">
        <v>20.3</v>
      </c>
      <c r="W55" s="31">
        <v>20.5</v>
      </c>
      <c r="X55" s="31">
        <v>20.3</v>
      </c>
      <c r="Y55" s="31">
        <v>20.3</v>
      </c>
    </row>
    <row r="56" spans="1:25" ht="11.5" customHeight="1">
      <c r="A56" s="32" t="s">
        <v>31</v>
      </c>
      <c r="B56" s="31">
        <v>1.4</v>
      </c>
      <c r="C56" s="31">
        <v>1</v>
      </c>
      <c r="D56" s="31">
        <v>1.4</v>
      </c>
      <c r="E56" s="31">
        <v>2.4</v>
      </c>
      <c r="F56" s="31">
        <v>2.7</v>
      </c>
      <c r="G56" s="31">
        <v>2.7</v>
      </c>
      <c r="H56" s="31">
        <v>2.7</v>
      </c>
      <c r="I56" s="31">
        <v>2.6</v>
      </c>
      <c r="J56" s="31">
        <v>2.6</v>
      </c>
      <c r="K56" s="31">
        <v>2.6</v>
      </c>
      <c r="L56" s="31">
        <v>2.6</v>
      </c>
      <c r="M56" s="31">
        <v>2.6</v>
      </c>
      <c r="N56" s="31">
        <v>2.7</v>
      </c>
      <c r="O56" s="31">
        <v>2.7</v>
      </c>
      <c r="P56" s="31">
        <v>2.7</v>
      </c>
      <c r="Q56" s="31">
        <v>2.7</v>
      </c>
      <c r="R56" s="31">
        <v>2.7</v>
      </c>
      <c r="S56" s="31">
        <v>2.7</v>
      </c>
      <c r="T56" s="31">
        <v>2.7</v>
      </c>
      <c r="U56" s="31">
        <v>2.7</v>
      </c>
      <c r="V56" s="31">
        <v>2.8</v>
      </c>
      <c r="W56" s="31">
        <v>2.8</v>
      </c>
      <c r="X56" s="31">
        <v>2.9</v>
      </c>
      <c r="Y56" s="31">
        <v>2.9</v>
      </c>
    </row>
    <row r="57" spans="1:25" ht="11.5" customHeight="1">
      <c r="A57" s="32" t="s">
        <v>32</v>
      </c>
      <c r="B57" s="31">
        <v>7.3</v>
      </c>
      <c r="C57" s="31">
        <v>6.4</v>
      </c>
      <c r="D57" s="31">
        <v>5.3</v>
      </c>
      <c r="E57" s="31">
        <v>4.4000000000000004</v>
      </c>
      <c r="F57" s="31">
        <v>4.5</v>
      </c>
      <c r="G57" s="31">
        <v>4.5999999999999996</v>
      </c>
      <c r="H57" s="31">
        <v>4.5</v>
      </c>
      <c r="I57" s="31">
        <v>4.3</v>
      </c>
      <c r="J57" s="31">
        <v>4.3</v>
      </c>
      <c r="K57" s="31">
        <v>4.3</v>
      </c>
      <c r="L57" s="31">
        <v>4.2</v>
      </c>
      <c r="M57" s="31">
        <v>4.2</v>
      </c>
      <c r="N57" s="31">
        <v>4.3</v>
      </c>
      <c r="O57" s="31">
        <v>4.0999999999999996</v>
      </c>
      <c r="P57" s="31">
        <v>4.0999999999999996</v>
      </c>
      <c r="Q57" s="31">
        <v>4</v>
      </c>
      <c r="R57" s="31">
        <v>3.9</v>
      </c>
      <c r="S57" s="31">
        <v>3.9</v>
      </c>
      <c r="T57" s="31">
        <v>3.8</v>
      </c>
      <c r="U57" s="31">
        <v>3.8</v>
      </c>
      <c r="V57" s="31">
        <v>3.8</v>
      </c>
      <c r="W57" s="31">
        <v>3.8</v>
      </c>
      <c r="X57" s="31">
        <v>3.8</v>
      </c>
      <c r="Y57" s="31">
        <v>3.8</v>
      </c>
    </row>
    <row r="58" spans="1:25" ht="12.65" customHeight="1">
      <c r="A58" s="32" t="s">
        <v>33</v>
      </c>
      <c r="B58" s="31">
        <v>1.6</v>
      </c>
      <c r="C58" s="31">
        <v>1.8</v>
      </c>
      <c r="D58" s="31">
        <v>3.3</v>
      </c>
      <c r="E58" s="31">
        <v>3.3</v>
      </c>
      <c r="F58" s="31">
        <v>4.7</v>
      </c>
      <c r="G58" s="31">
        <v>4.7</v>
      </c>
      <c r="H58" s="31">
        <v>4.7</v>
      </c>
      <c r="I58" s="31">
        <v>4.7</v>
      </c>
      <c r="J58" s="31">
        <v>4.7</v>
      </c>
      <c r="K58" s="31">
        <v>4.7</v>
      </c>
      <c r="L58" s="31">
        <v>4.7</v>
      </c>
      <c r="M58" s="31">
        <v>4.7</v>
      </c>
      <c r="N58" s="31">
        <v>4.7</v>
      </c>
      <c r="O58" s="31">
        <v>4.9000000000000004</v>
      </c>
      <c r="P58" s="31">
        <v>5</v>
      </c>
      <c r="Q58" s="31">
        <v>4.9000000000000004</v>
      </c>
      <c r="R58" s="31">
        <v>5</v>
      </c>
      <c r="S58" s="31">
        <v>5.0999999999999996</v>
      </c>
      <c r="T58" s="31">
        <v>5.0999999999999996</v>
      </c>
      <c r="U58" s="31">
        <v>5.2</v>
      </c>
      <c r="V58" s="31">
        <v>5.3</v>
      </c>
      <c r="W58" s="31">
        <v>5.4</v>
      </c>
      <c r="X58" s="31">
        <v>5.3</v>
      </c>
      <c r="Y58" s="31">
        <v>5.0999999999999996</v>
      </c>
    </row>
    <row r="59" spans="1:25" ht="12.65" customHeight="1">
      <c r="A59" s="33" t="s">
        <v>34</v>
      </c>
      <c r="B59" s="31">
        <v>0.2</v>
      </c>
      <c r="C59" s="31">
        <v>0.3</v>
      </c>
      <c r="D59" s="31">
        <v>0.9</v>
      </c>
      <c r="E59" s="31">
        <v>1.7</v>
      </c>
      <c r="F59" s="31">
        <v>2.4</v>
      </c>
      <c r="G59" s="31">
        <v>2.2999999999999998</v>
      </c>
      <c r="H59" s="31">
        <v>2.2000000000000002</v>
      </c>
      <c r="I59" s="31">
        <v>2.2999999999999998</v>
      </c>
      <c r="J59" s="31">
        <v>2.4</v>
      </c>
      <c r="K59" s="31">
        <v>2.4</v>
      </c>
      <c r="L59" s="31">
        <v>2.4</v>
      </c>
      <c r="M59" s="31">
        <v>2.5</v>
      </c>
      <c r="N59" s="31">
        <v>2.6</v>
      </c>
      <c r="O59" s="31">
        <v>2.7</v>
      </c>
      <c r="P59" s="31">
        <v>2.7</v>
      </c>
      <c r="Q59" s="31">
        <v>2.8</v>
      </c>
      <c r="R59" s="31">
        <v>2.8</v>
      </c>
      <c r="S59" s="31">
        <v>2.8</v>
      </c>
      <c r="T59" s="31">
        <v>2.8</v>
      </c>
      <c r="U59" s="31">
        <v>2.8</v>
      </c>
      <c r="V59" s="31">
        <v>2.8</v>
      </c>
      <c r="W59" s="31">
        <v>2.9</v>
      </c>
      <c r="X59" s="31">
        <v>2.9</v>
      </c>
      <c r="Y59" s="31">
        <v>3</v>
      </c>
    </row>
    <row r="60" spans="1:25" ht="12.65" customHeight="1">
      <c r="A60" s="33" t="s">
        <v>35</v>
      </c>
      <c r="B60" s="31">
        <v>3</v>
      </c>
      <c r="C60" s="31">
        <v>5.4</v>
      </c>
      <c r="D60" s="31">
        <v>6</v>
      </c>
      <c r="E60" s="31">
        <v>6.2</v>
      </c>
      <c r="F60" s="31">
        <v>6.2</v>
      </c>
      <c r="G60" s="31">
        <v>6.1</v>
      </c>
      <c r="H60" s="31">
        <v>5.8</v>
      </c>
      <c r="I60" s="31">
        <v>5.7</v>
      </c>
      <c r="J60" s="31">
        <v>5.5</v>
      </c>
      <c r="K60" s="31">
        <v>5.5</v>
      </c>
      <c r="L60" s="31">
        <v>5.4</v>
      </c>
      <c r="M60" s="31">
        <v>5.4</v>
      </c>
      <c r="N60" s="31">
        <v>5.4</v>
      </c>
      <c r="O60" s="31">
        <v>5.4</v>
      </c>
      <c r="P60" s="31">
        <v>5.4</v>
      </c>
      <c r="Q60" s="31">
        <v>5.4</v>
      </c>
      <c r="R60" s="31">
        <v>5.3</v>
      </c>
      <c r="S60" s="31">
        <v>5.2</v>
      </c>
      <c r="T60" s="31">
        <v>5.0999999999999996</v>
      </c>
      <c r="U60" s="31">
        <v>4.9000000000000004</v>
      </c>
      <c r="V60" s="31">
        <v>4.9000000000000004</v>
      </c>
      <c r="W60" s="31">
        <v>4.7</v>
      </c>
      <c r="X60" s="31">
        <v>4.5999999999999996</v>
      </c>
      <c r="Y60" s="31">
        <v>4.5</v>
      </c>
    </row>
    <row r="61" spans="1:25" ht="11.5" customHeight="1">
      <c r="A61" s="33" t="s">
        <v>36</v>
      </c>
      <c r="B61" s="31">
        <v>18.100000000000001</v>
      </c>
      <c r="C61" s="31">
        <v>13.3</v>
      </c>
      <c r="D61" s="31">
        <v>9.1999999999999993</v>
      </c>
      <c r="E61" s="31">
        <v>10.1</v>
      </c>
      <c r="F61" s="31">
        <v>12.7</v>
      </c>
      <c r="G61" s="31">
        <v>12.9</v>
      </c>
      <c r="H61" s="31">
        <v>13.3</v>
      </c>
      <c r="I61" s="31">
        <v>13.6</v>
      </c>
      <c r="J61" s="31">
        <v>13.8</v>
      </c>
      <c r="K61" s="31">
        <v>13.8</v>
      </c>
      <c r="L61" s="31">
        <v>14.1</v>
      </c>
      <c r="M61" s="31">
        <v>14.1</v>
      </c>
      <c r="N61" s="31">
        <v>13.8</v>
      </c>
      <c r="O61" s="31">
        <v>13.8</v>
      </c>
      <c r="P61" s="31">
        <v>13.3</v>
      </c>
      <c r="Q61" s="31">
        <v>13.2</v>
      </c>
      <c r="R61" s="31">
        <v>13</v>
      </c>
      <c r="S61" s="31">
        <v>13</v>
      </c>
      <c r="T61" s="31">
        <v>13.6</v>
      </c>
      <c r="U61" s="31">
        <v>13.9</v>
      </c>
      <c r="V61" s="31">
        <v>13.6</v>
      </c>
      <c r="W61" s="31">
        <v>13.4</v>
      </c>
      <c r="X61" s="31">
        <v>13.3</v>
      </c>
      <c r="Y61" s="31">
        <v>13.4</v>
      </c>
    </row>
    <row r="62" spans="1:25" ht="11.5" customHeight="1">
      <c r="A62" s="33" t="s">
        <v>37</v>
      </c>
      <c r="B62" s="31">
        <v>9.9</v>
      </c>
      <c r="C62" s="31">
        <v>7.4</v>
      </c>
      <c r="D62" s="31">
        <v>4.8</v>
      </c>
      <c r="E62" s="31">
        <v>5.6</v>
      </c>
      <c r="F62" s="31">
        <v>8.9</v>
      </c>
      <c r="G62" s="31">
        <v>9.5</v>
      </c>
      <c r="H62" s="31">
        <v>9.8000000000000007</v>
      </c>
      <c r="I62" s="31">
        <v>10.199999999999999</v>
      </c>
      <c r="J62" s="31">
        <v>10.3</v>
      </c>
      <c r="K62" s="31">
        <v>10.3</v>
      </c>
      <c r="L62" s="31">
        <v>10.5</v>
      </c>
      <c r="M62" s="31">
        <v>10.4</v>
      </c>
      <c r="N62" s="31">
        <v>10.199999999999999</v>
      </c>
      <c r="O62" s="31">
        <v>10.199999999999999</v>
      </c>
      <c r="P62" s="31">
        <v>9.8000000000000007</v>
      </c>
      <c r="Q62" s="31">
        <v>9.6</v>
      </c>
      <c r="R62" s="31">
        <v>9.1999999999999993</v>
      </c>
      <c r="S62" s="31">
        <v>9.1999999999999993</v>
      </c>
      <c r="T62" s="31">
        <v>9.9</v>
      </c>
      <c r="U62" s="31">
        <v>10.199999999999999</v>
      </c>
      <c r="V62" s="31">
        <v>9.9</v>
      </c>
      <c r="W62" s="31">
        <v>9.6999999999999993</v>
      </c>
      <c r="X62" s="31">
        <v>9.6</v>
      </c>
      <c r="Y62" s="31">
        <v>9.6999999999999993</v>
      </c>
    </row>
    <row r="63" spans="1:25" ht="11.5" customHeight="1">
      <c r="A63" s="32" t="s">
        <v>38</v>
      </c>
      <c r="B63" s="31">
        <v>2.7</v>
      </c>
      <c r="C63" s="31">
        <v>2.4</v>
      </c>
      <c r="D63" s="31">
        <v>1.6</v>
      </c>
      <c r="E63" s="31">
        <v>1.9</v>
      </c>
      <c r="F63" s="31">
        <v>1.9</v>
      </c>
      <c r="G63" s="31">
        <v>1.7</v>
      </c>
      <c r="H63" s="31">
        <v>1.8</v>
      </c>
      <c r="I63" s="31">
        <v>1.7</v>
      </c>
      <c r="J63" s="31">
        <v>1.7</v>
      </c>
      <c r="K63" s="31">
        <v>1.8</v>
      </c>
      <c r="L63" s="31">
        <v>1.8</v>
      </c>
      <c r="M63" s="31">
        <v>1.9</v>
      </c>
      <c r="N63" s="31">
        <v>1.8</v>
      </c>
      <c r="O63" s="31">
        <v>1.7</v>
      </c>
      <c r="P63" s="31">
        <v>1.5</v>
      </c>
      <c r="Q63" s="31">
        <v>1.5</v>
      </c>
      <c r="R63" s="31">
        <v>1.6</v>
      </c>
      <c r="S63" s="31">
        <v>1.6</v>
      </c>
      <c r="T63" s="31">
        <v>1.5</v>
      </c>
      <c r="U63" s="31">
        <v>1.5</v>
      </c>
      <c r="V63" s="31">
        <v>1.5</v>
      </c>
      <c r="W63" s="31">
        <v>1.5</v>
      </c>
      <c r="X63" s="31">
        <v>1.5</v>
      </c>
      <c r="Y63" s="31">
        <v>1.5</v>
      </c>
    </row>
    <row r="64" spans="1:25" ht="11.5" customHeight="1">
      <c r="A64" s="32" t="s">
        <v>39</v>
      </c>
      <c r="B64" s="31">
        <v>5.5</v>
      </c>
      <c r="C64" s="31">
        <v>3.5</v>
      </c>
      <c r="D64" s="31">
        <v>2.8</v>
      </c>
      <c r="E64" s="31">
        <v>2.6</v>
      </c>
      <c r="F64" s="31">
        <v>1.8</v>
      </c>
      <c r="G64" s="31">
        <v>1.8</v>
      </c>
      <c r="H64" s="31">
        <v>1.7</v>
      </c>
      <c r="I64" s="31">
        <v>1.7</v>
      </c>
      <c r="J64" s="31">
        <v>1.7</v>
      </c>
      <c r="K64" s="31">
        <v>1.7</v>
      </c>
      <c r="L64" s="31">
        <v>1.8</v>
      </c>
      <c r="M64" s="31">
        <v>1.8</v>
      </c>
      <c r="N64" s="31">
        <v>1.9</v>
      </c>
      <c r="O64" s="31">
        <v>1.9</v>
      </c>
      <c r="P64" s="31">
        <v>2</v>
      </c>
      <c r="Q64" s="31">
        <v>2.1</v>
      </c>
      <c r="R64" s="31">
        <v>2.2000000000000002</v>
      </c>
      <c r="S64" s="31">
        <v>2.2000000000000002</v>
      </c>
      <c r="T64" s="31">
        <v>2.2000000000000002</v>
      </c>
      <c r="U64" s="31">
        <v>2.2000000000000002</v>
      </c>
      <c r="V64" s="31">
        <v>2.2000000000000002</v>
      </c>
      <c r="W64" s="31">
        <v>2.2000000000000002</v>
      </c>
      <c r="X64" s="31">
        <v>2.1</v>
      </c>
      <c r="Y64" s="31">
        <v>2.2000000000000002</v>
      </c>
    </row>
    <row r="65" spans="1:25" ht="12.65" customHeight="1">
      <c r="A65" s="34" t="s">
        <v>40</v>
      </c>
      <c r="B65" s="31">
        <v>0.2</v>
      </c>
      <c r="C65" s="31">
        <v>1</v>
      </c>
      <c r="D65" s="31">
        <v>1.1000000000000001</v>
      </c>
      <c r="E65" s="31">
        <v>1</v>
      </c>
      <c r="F65" s="31">
        <v>1.3</v>
      </c>
      <c r="G65" s="31">
        <v>1.3</v>
      </c>
      <c r="H65" s="31">
        <v>1.4</v>
      </c>
      <c r="I65" s="31">
        <v>1.4</v>
      </c>
      <c r="J65" s="31">
        <v>1.4</v>
      </c>
      <c r="K65" s="31">
        <v>1.4</v>
      </c>
      <c r="L65" s="31">
        <v>1.3</v>
      </c>
      <c r="M65" s="31">
        <v>1.3</v>
      </c>
      <c r="N65" s="31">
        <v>1.2</v>
      </c>
      <c r="O65" s="31">
        <v>1.2</v>
      </c>
      <c r="P65" s="31">
        <v>1.2</v>
      </c>
      <c r="Q65" s="31">
        <v>1.2</v>
      </c>
      <c r="R65" s="31">
        <v>1.2</v>
      </c>
      <c r="S65" s="31">
        <v>1.3</v>
      </c>
      <c r="T65" s="31">
        <v>1.4</v>
      </c>
      <c r="U65" s="31">
        <v>1.3</v>
      </c>
      <c r="V65" s="31">
        <v>1.4</v>
      </c>
      <c r="W65" s="31">
        <v>1.3</v>
      </c>
      <c r="X65" s="31">
        <v>1.3</v>
      </c>
      <c r="Y65" s="31">
        <v>1.3</v>
      </c>
    </row>
    <row r="66" spans="1:25" ht="12.65" customHeight="1">
      <c r="A66" s="34" t="s">
        <v>41</v>
      </c>
      <c r="B66" s="31">
        <v>3.7</v>
      </c>
      <c r="C66" s="31">
        <v>2.5</v>
      </c>
      <c r="D66" s="31">
        <v>3.6</v>
      </c>
      <c r="E66" s="31">
        <v>4.3</v>
      </c>
      <c r="F66" s="31">
        <v>4.5999999999999996</v>
      </c>
      <c r="G66" s="31">
        <v>4.7</v>
      </c>
      <c r="H66" s="31">
        <v>5.4</v>
      </c>
      <c r="I66" s="31">
        <v>6</v>
      </c>
      <c r="J66" s="31">
        <v>5.9</v>
      </c>
      <c r="K66" s="31">
        <v>6</v>
      </c>
      <c r="L66" s="31">
        <v>6.2</v>
      </c>
      <c r="M66" s="31">
        <v>6.1</v>
      </c>
      <c r="N66" s="31">
        <v>5.7</v>
      </c>
      <c r="O66" s="31">
        <v>5.4</v>
      </c>
      <c r="P66" s="31">
        <v>5.8</v>
      </c>
      <c r="Q66" s="31">
        <v>5.8</v>
      </c>
      <c r="R66" s="31">
        <v>5.8</v>
      </c>
      <c r="S66" s="31">
        <v>5.9</v>
      </c>
      <c r="T66" s="31">
        <v>6.3</v>
      </c>
      <c r="U66" s="31">
        <v>6.3</v>
      </c>
      <c r="V66" s="31">
        <v>6.3</v>
      </c>
      <c r="W66" s="31">
        <v>6.3</v>
      </c>
      <c r="X66" s="31">
        <v>6.9</v>
      </c>
      <c r="Y66" s="31">
        <v>6.3</v>
      </c>
    </row>
    <row r="67" spans="1:25" ht="11.5" customHeight="1">
      <c r="A67" s="33" t="s">
        <v>42</v>
      </c>
      <c r="B67" s="31">
        <v>1.4</v>
      </c>
      <c r="C67" s="31">
        <v>1.8</v>
      </c>
      <c r="D67" s="31">
        <v>2.5</v>
      </c>
      <c r="E67" s="31">
        <v>2.8</v>
      </c>
      <c r="F67" s="31">
        <v>3.2</v>
      </c>
      <c r="G67" s="31">
        <v>3.2</v>
      </c>
      <c r="H67" s="31">
        <v>3.2</v>
      </c>
      <c r="I67" s="31">
        <v>3.1</v>
      </c>
      <c r="J67" s="31">
        <v>2.9</v>
      </c>
      <c r="K67" s="31">
        <v>2.8</v>
      </c>
      <c r="L67" s="31">
        <v>2.8</v>
      </c>
      <c r="M67" s="31">
        <v>2.9</v>
      </c>
      <c r="N67" s="31">
        <v>3</v>
      </c>
      <c r="O67" s="31">
        <v>3</v>
      </c>
      <c r="P67" s="31">
        <v>2.9</v>
      </c>
      <c r="Q67" s="31">
        <v>2.8</v>
      </c>
      <c r="R67" s="31">
        <v>2.8</v>
      </c>
      <c r="S67" s="31">
        <v>2.8</v>
      </c>
      <c r="T67" s="31">
        <v>2.8</v>
      </c>
      <c r="U67" s="31">
        <v>2.7</v>
      </c>
      <c r="V67" s="31">
        <v>2.7</v>
      </c>
      <c r="W67" s="31">
        <v>2.7</v>
      </c>
      <c r="X67" s="31">
        <v>2.6</v>
      </c>
      <c r="Y67" s="31">
        <v>2.6</v>
      </c>
    </row>
    <row r="68" spans="1:25" ht="11.5" customHeight="1">
      <c r="A68" s="35" t="s">
        <v>43</v>
      </c>
      <c r="B68" s="31">
        <v>9.5</v>
      </c>
      <c r="C68" s="31">
        <v>10.5</v>
      </c>
      <c r="D68" s="31">
        <v>8.1</v>
      </c>
      <c r="E68" s="31">
        <v>6.8</v>
      </c>
      <c r="F68" s="31">
        <v>6.3</v>
      </c>
      <c r="G68" s="31">
        <v>6.1</v>
      </c>
      <c r="H68" s="31">
        <v>6.2</v>
      </c>
      <c r="I68" s="31">
        <v>6.1</v>
      </c>
      <c r="J68" s="31">
        <v>6.2</v>
      </c>
      <c r="K68" s="31">
        <v>6.2</v>
      </c>
      <c r="L68" s="31">
        <v>6.1</v>
      </c>
      <c r="M68" s="31">
        <v>6.3</v>
      </c>
      <c r="N68" s="31">
        <v>6.5</v>
      </c>
      <c r="O68" s="31">
        <v>5.9</v>
      </c>
      <c r="P68" s="31">
        <v>5.9</v>
      </c>
      <c r="Q68" s="31">
        <v>5.9</v>
      </c>
      <c r="R68" s="31">
        <v>5.9</v>
      </c>
      <c r="S68" s="31">
        <v>5.7</v>
      </c>
      <c r="T68" s="31">
        <v>5.3</v>
      </c>
      <c r="U68" s="31">
        <v>5.2</v>
      </c>
      <c r="V68" s="31">
        <v>5</v>
      </c>
      <c r="W68" s="31">
        <v>5.2</v>
      </c>
      <c r="X68" s="31">
        <v>5.2</v>
      </c>
      <c r="Y68" s="31">
        <v>5.3</v>
      </c>
    </row>
    <row r="69" spans="1:25" ht="12.65" customHeight="1">
      <c r="A69" s="32" t="s">
        <v>44</v>
      </c>
      <c r="B69" s="31">
        <v>2.6</v>
      </c>
      <c r="C69" s="31">
        <v>2.6</v>
      </c>
      <c r="D69" s="31">
        <v>2.1</v>
      </c>
      <c r="E69" s="31">
        <v>1.8</v>
      </c>
      <c r="F69" s="31">
        <v>1.9</v>
      </c>
      <c r="G69" s="31">
        <v>1.9</v>
      </c>
      <c r="H69" s="31">
        <v>2</v>
      </c>
      <c r="I69" s="31">
        <v>2</v>
      </c>
      <c r="J69" s="31">
        <v>2</v>
      </c>
      <c r="K69" s="31">
        <v>2</v>
      </c>
      <c r="L69" s="31">
        <v>1.9</v>
      </c>
      <c r="M69" s="31">
        <v>1.8</v>
      </c>
      <c r="N69" s="31">
        <v>1.8</v>
      </c>
      <c r="O69" s="31">
        <v>1.8</v>
      </c>
      <c r="P69" s="31">
        <v>1.9</v>
      </c>
      <c r="Q69" s="31">
        <v>1.9</v>
      </c>
      <c r="R69" s="50">
        <v>1.7</v>
      </c>
      <c r="S69" s="50">
        <v>1.6</v>
      </c>
      <c r="T69" s="50">
        <v>1.5</v>
      </c>
      <c r="U69" s="50">
        <v>1.5</v>
      </c>
      <c r="V69" s="50">
        <v>1.4</v>
      </c>
      <c r="W69" s="50">
        <v>1.5</v>
      </c>
      <c r="X69" s="50">
        <v>1.5</v>
      </c>
      <c r="Y69" s="50">
        <v>1.5</v>
      </c>
    </row>
    <row r="70" spans="1:25" ht="11.5" customHeight="1">
      <c r="A70" s="32" t="s">
        <v>45</v>
      </c>
      <c r="B70" s="31">
        <v>6.9</v>
      </c>
      <c r="C70" s="31">
        <v>7.8</v>
      </c>
      <c r="D70" s="31">
        <v>6</v>
      </c>
      <c r="E70" s="31">
        <v>5</v>
      </c>
      <c r="F70" s="31">
        <v>4.4000000000000004</v>
      </c>
      <c r="G70" s="31">
        <v>4.0999999999999996</v>
      </c>
      <c r="H70" s="31">
        <v>4.3</v>
      </c>
      <c r="I70" s="31">
        <v>4.2</v>
      </c>
      <c r="J70" s="31">
        <v>4.0999999999999996</v>
      </c>
      <c r="K70" s="31">
        <v>4.2</v>
      </c>
      <c r="L70" s="31">
        <v>4.2</v>
      </c>
      <c r="M70" s="31">
        <v>4.5</v>
      </c>
      <c r="N70" s="31">
        <v>4.7</v>
      </c>
      <c r="O70" s="31">
        <v>4.0999999999999996</v>
      </c>
      <c r="P70" s="31">
        <v>4</v>
      </c>
      <c r="Q70" s="31">
        <v>4.0999999999999996</v>
      </c>
      <c r="R70" s="50">
        <v>4.0999999999999996</v>
      </c>
      <c r="S70" s="50">
        <v>4.0999999999999996</v>
      </c>
      <c r="T70" s="50">
        <v>3.8</v>
      </c>
      <c r="U70" s="50">
        <v>3.7</v>
      </c>
      <c r="V70" s="50">
        <v>3.6</v>
      </c>
      <c r="W70" s="50">
        <v>3.8</v>
      </c>
      <c r="X70" s="50">
        <v>3.8</v>
      </c>
      <c r="Y70" s="50">
        <v>3.8</v>
      </c>
    </row>
    <row r="71" spans="1:25" ht="10.5" customHeight="1">
      <c r="A71" s="32"/>
      <c r="B71" s="46" t="s">
        <v>50</v>
      </c>
      <c r="C71" s="47"/>
      <c r="D71" s="47"/>
      <c r="E71" s="47"/>
      <c r="F71" s="27"/>
      <c r="G71" s="47"/>
      <c r="H71" s="19"/>
      <c r="I71" s="47"/>
      <c r="J71" s="47"/>
      <c r="K71" s="47"/>
      <c r="L71" s="47"/>
      <c r="M71" s="47"/>
      <c r="N71" s="47"/>
      <c r="O71" s="47"/>
      <c r="P71" s="27"/>
      <c r="Q71" s="27"/>
      <c r="R71" s="47"/>
      <c r="S71" s="47"/>
      <c r="T71" s="27"/>
      <c r="U71" s="27"/>
      <c r="V71" s="27"/>
      <c r="W71" s="27"/>
      <c r="X71" s="27"/>
      <c r="Y71" s="27"/>
    </row>
    <row r="72" spans="1:25" ht="11.5" customHeight="1">
      <c r="A72" s="29" t="s">
        <v>25</v>
      </c>
      <c r="B72" s="51">
        <v>146</v>
      </c>
      <c r="C72" s="51">
        <v>352</v>
      </c>
      <c r="D72" s="51">
        <v>1099</v>
      </c>
      <c r="E72" s="51">
        <v>2833</v>
      </c>
      <c r="F72" s="51">
        <v>4843</v>
      </c>
      <c r="G72" s="51">
        <v>5207</v>
      </c>
      <c r="H72" s="51">
        <v>5672</v>
      </c>
      <c r="I72" s="51">
        <v>6104</v>
      </c>
      <c r="J72" s="51">
        <v>6492</v>
      </c>
      <c r="K72" s="51">
        <v>6873</v>
      </c>
      <c r="L72" s="51">
        <v>7266</v>
      </c>
      <c r="M72" s="51">
        <v>7660</v>
      </c>
      <c r="N72" s="51">
        <v>7908</v>
      </c>
      <c r="O72" s="51">
        <v>8135</v>
      </c>
      <c r="P72" s="51">
        <v>8383</v>
      </c>
      <c r="Q72" s="51">
        <v>8606</v>
      </c>
      <c r="R72" s="51">
        <v>8884</v>
      </c>
      <c r="S72" s="51">
        <v>9065</v>
      </c>
      <c r="T72" s="51">
        <v>9467</v>
      </c>
      <c r="U72" s="51">
        <v>9930</v>
      </c>
      <c r="V72" s="51">
        <v>10312</v>
      </c>
      <c r="W72" s="51">
        <v>10682</v>
      </c>
      <c r="X72" s="51">
        <v>11129</v>
      </c>
      <c r="Y72" s="51">
        <v>11582</v>
      </c>
    </row>
    <row r="73" spans="1:25" ht="11.5" customHeight="1">
      <c r="A73" s="29" t="s">
        <v>26</v>
      </c>
      <c r="B73" s="52">
        <v>132</v>
      </c>
      <c r="C73" s="52">
        <v>316</v>
      </c>
      <c r="D73" s="52">
        <v>1010</v>
      </c>
      <c r="E73" s="52">
        <v>2642</v>
      </c>
      <c r="F73" s="52">
        <v>4539</v>
      </c>
      <c r="G73" s="52">
        <v>4891</v>
      </c>
      <c r="H73" s="52">
        <v>5320</v>
      </c>
      <c r="I73" s="52">
        <v>5730</v>
      </c>
      <c r="J73" s="52">
        <v>6092</v>
      </c>
      <c r="K73" s="52">
        <v>6448</v>
      </c>
      <c r="L73" s="52">
        <v>6820</v>
      </c>
      <c r="M73" s="52">
        <v>7174</v>
      </c>
      <c r="N73" s="52">
        <v>7394</v>
      </c>
      <c r="O73" s="52">
        <v>7654</v>
      </c>
      <c r="P73" s="52">
        <v>7891</v>
      </c>
      <c r="Q73" s="52">
        <v>8095</v>
      </c>
      <c r="R73" s="52">
        <v>8363</v>
      </c>
      <c r="S73" s="52">
        <v>8548</v>
      </c>
      <c r="T73" s="52">
        <v>8965</v>
      </c>
      <c r="U73" s="52">
        <v>9418</v>
      </c>
      <c r="V73" s="52">
        <v>9794</v>
      </c>
      <c r="W73" s="52">
        <v>10122</v>
      </c>
      <c r="X73" s="52">
        <v>10546</v>
      </c>
      <c r="Y73" s="52">
        <v>10967</v>
      </c>
    </row>
    <row r="74" spans="1:25" ht="11.5" customHeight="1">
      <c r="A74" s="32" t="s">
        <v>27</v>
      </c>
      <c r="B74" s="52">
        <v>124</v>
      </c>
      <c r="C74" s="52">
        <v>297</v>
      </c>
      <c r="D74" s="52">
        <v>930</v>
      </c>
      <c r="E74" s="52">
        <v>2412</v>
      </c>
      <c r="F74" s="52">
        <v>4103</v>
      </c>
      <c r="G74" s="52">
        <v>4414</v>
      </c>
      <c r="H74" s="52">
        <v>4752</v>
      </c>
      <c r="I74" s="52">
        <v>5092</v>
      </c>
      <c r="J74" s="52">
        <v>5426</v>
      </c>
      <c r="K74" s="52">
        <v>5749</v>
      </c>
      <c r="L74" s="52">
        <v>6066</v>
      </c>
      <c r="M74" s="52">
        <v>6387</v>
      </c>
      <c r="N74" s="52">
        <v>6611</v>
      </c>
      <c r="O74" s="52">
        <v>6874</v>
      </c>
      <c r="P74" s="52">
        <v>7062</v>
      </c>
      <c r="Q74" s="52">
        <v>7250</v>
      </c>
      <c r="R74" s="52">
        <v>7493</v>
      </c>
      <c r="S74" s="52">
        <v>7637</v>
      </c>
      <c r="T74" s="52">
        <v>7973</v>
      </c>
      <c r="U74" s="52">
        <v>8394</v>
      </c>
      <c r="V74" s="52">
        <v>8727</v>
      </c>
      <c r="W74" s="52">
        <v>9025</v>
      </c>
      <c r="X74" s="52">
        <v>9346</v>
      </c>
      <c r="Y74" s="52">
        <v>9787</v>
      </c>
    </row>
    <row r="75" spans="1:25" ht="11.5" customHeight="1">
      <c r="A75" s="33" t="s">
        <v>28</v>
      </c>
      <c r="B75" s="52">
        <v>48</v>
      </c>
      <c r="C75" s="52">
        <v>129</v>
      </c>
      <c r="D75" s="52">
        <v>436</v>
      </c>
      <c r="E75" s="52">
        <v>987</v>
      </c>
      <c r="F75" s="52">
        <v>1474</v>
      </c>
      <c r="G75" s="52">
        <v>1578</v>
      </c>
      <c r="H75" s="52">
        <v>1692</v>
      </c>
      <c r="I75" s="52">
        <v>1814</v>
      </c>
      <c r="J75" s="52">
        <v>1932</v>
      </c>
      <c r="K75" s="52">
        <v>2061</v>
      </c>
      <c r="L75" s="52">
        <v>2184</v>
      </c>
      <c r="M75" s="52">
        <v>2299</v>
      </c>
      <c r="N75" s="52">
        <v>2375</v>
      </c>
      <c r="O75" s="52">
        <v>2516</v>
      </c>
      <c r="P75" s="52">
        <v>2618</v>
      </c>
      <c r="Q75" s="52">
        <v>2679</v>
      </c>
      <c r="R75" s="52">
        <v>2803</v>
      </c>
      <c r="S75" s="52">
        <v>2875</v>
      </c>
      <c r="T75" s="52">
        <v>2960</v>
      </c>
      <c r="U75" s="52">
        <v>3090</v>
      </c>
      <c r="V75" s="52">
        <v>3211</v>
      </c>
      <c r="W75" s="52">
        <v>3321</v>
      </c>
      <c r="X75" s="52">
        <v>3442</v>
      </c>
      <c r="Y75" s="52">
        <v>3637</v>
      </c>
    </row>
    <row r="76" spans="1:25" ht="11.5" customHeight="1">
      <c r="A76" s="33" t="s">
        <v>29</v>
      </c>
      <c r="B76" s="52">
        <v>43</v>
      </c>
      <c r="C76" s="52">
        <v>94</v>
      </c>
      <c r="D76" s="52">
        <v>280</v>
      </c>
      <c r="E76" s="52">
        <v>819</v>
      </c>
      <c r="F76" s="52">
        <v>1372</v>
      </c>
      <c r="G76" s="52">
        <v>1477</v>
      </c>
      <c r="H76" s="52">
        <v>1582</v>
      </c>
      <c r="I76" s="52">
        <v>1680</v>
      </c>
      <c r="J76" s="52">
        <v>1783</v>
      </c>
      <c r="K76" s="52">
        <v>1873</v>
      </c>
      <c r="L76" s="52">
        <v>1951</v>
      </c>
      <c r="M76" s="52">
        <v>2045</v>
      </c>
      <c r="N76" s="52">
        <v>2137</v>
      </c>
      <c r="O76" s="52">
        <v>2180</v>
      </c>
      <c r="P76" s="52">
        <v>2228</v>
      </c>
      <c r="Q76" s="52">
        <v>2304</v>
      </c>
      <c r="R76" s="52">
        <v>2372</v>
      </c>
      <c r="S76" s="52">
        <v>2401</v>
      </c>
      <c r="T76" s="52">
        <v>2498</v>
      </c>
      <c r="U76" s="52">
        <v>2635</v>
      </c>
      <c r="V76" s="52">
        <v>2772</v>
      </c>
      <c r="W76" s="52">
        <v>2889</v>
      </c>
      <c r="X76" s="52">
        <v>3003</v>
      </c>
      <c r="Y76" s="52">
        <v>3131</v>
      </c>
    </row>
    <row r="77" spans="1:25" ht="11.5" customHeight="1">
      <c r="A77" s="32" t="s">
        <v>30</v>
      </c>
      <c r="B77" s="52">
        <v>30</v>
      </c>
      <c r="C77" s="52">
        <v>68</v>
      </c>
      <c r="D77" s="52">
        <v>207</v>
      </c>
      <c r="E77" s="52">
        <v>626</v>
      </c>
      <c r="F77" s="52">
        <v>1022</v>
      </c>
      <c r="G77" s="52">
        <v>1098</v>
      </c>
      <c r="H77" s="52">
        <v>1175</v>
      </c>
      <c r="I77" s="52">
        <v>1256</v>
      </c>
      <c r="J77" s="52">
        <v>1331</v>
      </c>
      <c r="K77" s="52">
        <v>1399</v>
      </c>
      <c r="L77" s="52">
        <v>1458</v>
      </c>
      <c r="M77" s="52">
        <v>1520</v>
      </c>
      <c r="N77" s="52">
        <v>1586</v>
      </c>
      <c r="O77" s="52">
        <v>1624</v>
      </c>
      <c r="P77" s="52">
        <v>1659</v>
      </c>
      <c r="Q77" s="52">
        <v>1723</v>
      </c>
      <c r="R77" s="52">
        <v>1778</v>
      </c>
      <c r="S77" s="52">
        <v>1800</v>
      </c>
      <c r="T77" s="52">
        <v>1878</v>
      </c>
      <c r="U77" s="52">
        <v>1987</v>
      </c>
      <c r="V77" s="52">
        <v>2095</v>
      </c>
      <c r="W77" s="52">
        <v>2187</v>
      </c>
      <c r="X77" s="52">
        <v>2263</v>
      </c>
      <c r="Y77" s="52">
        <v>2356</v>
      </c>
    </row>
    <row r="78" spans="1:25" ht="11.5" customHeight="1">
      <c r="A78" s="32" t="s">
        <v>31</v>
      </c>
      <c r="B78" s="52">
        <v>2</v>
      </c>
      <c r="C78" s="52">
        <v>3</v>
      </c>
      <c r="D78" s="52">
        <v>15</v>
      </c>
      <c r="E78" s="52">
        <v>68</v>
      </c>
      <c r="F78" s="52">
        <v>130</v>
      </c>
      <c r="G78" s="52">
        <v>141</v>
      </c>
      <c r="H78" s="52">
        <v>151</v>
      </c>
      <c r="I78" s="52">
        <v>160</v>
      </c>
      <c r="J78" s="52">
        <v>172</v>
      </c>
      <c r="K78" s="52">
        <v>179</v>
      </c>
      <c r="L78" s="52">
        <v>185</v>
      </c>
      <c r="M78" s="52">
        <v>200</v>
      </c>
      <c r="N78" s="52">
        <v>212</v>
      </c>
      <c r="O78" s="52">
        <v>219</v>
      </c>
      <c r="P78" s="52">
        <v>226</v>
      </c>
      <c r="Q78" s="52">
        <v>234</v>
      </c>
      <c r="R78" s="52">
        <v>244</v>
      </c>
      <c r="S78" s="52">
        <v>247</v>
      </c>
      <c r="T78" s="52">
        <v>259</v>
      </c>
      <c r="U78" s="52">
        <v>273</v>
      </c>
      <c r="V78" s="52">
        <v>286</v>
      </c>
      <c r="W78" s="52">
        <v>298</v>
      </c>
      <c r="X78" s="52">
        <v>319</v>
      </c>
      <c r="Y78" s="52">
        <v>338</v>
      </c>
    </row>
    <row r="79" spans="1:25" ht="11.5" customHeight="1">
      <c r="A79" s="32" t="s">
        <v>32</v>
      </c>
      <c r="B79" s="52">
        <v>11</v>
      </c>
      <c r="C79" s="52">
        <v>22</v>
      </c>
      <c r="D79" s="52">
        <v>58</v>
      </c>
      <c r="E79" s="52">
        <v>125</v>
      </c>
      <c r="F79" s="52">
        <v>220</v>
      </c>
      <c r="G79" s="52">
        <v>238</v>
      </c>
      <c r="H79" s="52">
        <v>256</v>
      </c>
      <c r="I79" s="52">
        <v>263</v>
      </c>
      <c r="J79" s="52">
        <v>281</v>
      </c>
      <c r="K79" s="52">
        <v>295</v>
      </c>
      <c r="L79" s="52">
        <v>308</v>
      </c>
      <c r="M79" s="52">
        <v>325</v>
      </c>
      <c r="N79" s="52">
        <v>338</v>
      </c>
      <c r="O79" s="52">
        <v>337</v>
      </c>
      <c r="P79" s="52">
        <v>343</v>
      </c>
      <c r="Q79" s="52">
        <v>347</v>
      </c>
      <c r="R79" s="52">
        <v>350</v>
      </c>
      <c r="S79" s="52">
        <v>353</v>
      </c>
      <c r="T79" s="52">
        <v>361</v>
      </c>
      <c r="U79" s="52">
        <v>375</v>
      </c>
      <c r="V79" s="52">
        <v>391</v>
      </c>
      <c r="W79" s="52">
        <v>404</v>
      </c>
      <c r="X79" s="52">
        <v>421</v>
      </c>
      <c r="Y79" s="52">
        <v>437</v>
      </c>
    </row>
    <row r="80" spans="1:25" ht="12.65" customHeight="1">
      <c r="A80" s="32" t="s">
        <v>33</v>
      </c>
      <c r="B80" s="52">
        <v>2</v>
      </c>
      <c r="C80" s="52">
        <v>6</v>
      </c>
      <c r="D80" s="52">
        <v>36</v>
      </c>
      <c r="E80" s="52">
        <v>94</v>
      </c>
      <c r="F80" s="52">
        <v>227</v>
      </c>
      <c r="G80" s="52">
        <v>246</v>
      </c>
      <c r="H80" s="52">
        <v>267</v>
      </c>
      <c r="I80" s="52">
        <v>285</v>
      </c>
      <c r="J80" s="52">
        <v>306</v>
      </c>
      <c r="K80" s="52">
        <v>322</v>
      </c>
      <c r="L80" s="52">
        <v>340</v>
      </c>
      <c r="M80" s="52">
        <v>360</v>
      </c>
      <c r="N80" s="52">
        <v>372</v>
      </c>
      <c r="O80" s="52">
        <v>398</v>
      </c>
      <c r="P80" s="52">
        <v>415</v>
      </c>
      <c r="Q80" s="52">
        <v>423</v>
      </c>
      <c r="R80" s="52">
        <v>444</v>
      </c>
      <c r="S80" s="52">
        <v>459</v>
      </c>
      <c r="T80" s="52">
        <v>480</v>
      </c>
      <c r="U80" s="52">
        <v>517</v>
      </c>
      <c r="V80" s="52">
        <v>543</v>
      </c>
      <c r="W80" s="52">
        <v>572</v>
      </c>
      <c r="X80" s="52">
        <v>587</v>
      </c>
      <c r="Y80" s="52">
        <v>591</v>
      </c>
    </row>
    <row r="81" spans="1:25" ht="12.65" customHeight="1">
      <c r="A81" s="33" t="s">
        <v>34</v>
      </c>
      <c r="B81" s="52">
        <v>0</v>
      </c>
      <c r="C81" s="52">
        <v>1</v>
      </c>
      <c r="D81" s="52">
        <v>10</v>
      </c>
      <c r="E81" s="52">
        <v>49</v>
      </c>
      <c r="F81" s="52">
        <v>115</v>
      </c>
      <c r="G81" s="52">
        <v>120</v>
      </c>
      <c r="H81" s="52">
        <v>127</v>
      </c>
      <c r="I81" s="52">
        <v>139</v>
      </c>
      <c r="J81" s="52">
        <v>153</v>
      </c>
      <c r="K81" s="52">
        <v>167</v>
      </c>
      <c r="L81" s="52">
        <v>175</v>
      </c>
      <c r="M81" s="52">
        <v>191</v>
      </c>
      <c r="N81" s="52">
        <v>205</v>
      </c>
      <c r="O81" s="52">
        <v>219</v>
      </c>
      <c r="P81" s="52">
        <v>228</v>
      </c>
      <c r="Q81" s="52">
        <v>240</v>
      </c>
      <c r="R81" s="52">
        <v>249</v>
      </c>
      <c r="S81" s="52">
        <v>257</v>
      </c>
      <c r="T81" s="52">
        <v>266</v>
      </c>
      <c r="U81" s="52">
        <v>281</v>
      </c>
      <c r="V81" s="52">
        <v>293</v>
      </c>
      <c r="W81" s="52">
        <v>308</v>
      </c>
      <c r="X81" s="52">
        <v>323</v>
      </c>
      <c r="Y81" s="52">
        <v>346</v>
      </c>
    </row>
    <row r="82" spans="1:25" ht="12.65" customHeight="1">
      <c r="A82" s="33" t="s">
        <v>35</v>
      </c>
      <c r="B82" s="52">
        <v>4</v>
      </c>
      <c r="C82" s="52">
        <v>19</v>
      </c>
      <c r="D82" s="52">
        <v>66</v>
      </c>
      <c r="E82" s="52">
        <v>176</v>
      </c>
      <c r="F82" s="52">
        <v>302</v>
      </c>
      <c r="G82" s="52">
        <v>319</v>
      </c>
      <c r="H82" s="52">
        <v>329</v>
      </c>
      <c r="I82" s="52">
        <v>345</v>
      </c>
      <c r="J82" s="52">
        <v>359</v>
      </c>
      <c r="K82" s="52">
        <v>377</v>
      </c>
      <c r="L82" s="52">
        <v>389</v>
      </c>
      <c r="M82" s="52">
        <v>415</v>
      </c>
      <c r="N82" s="52">
        <v>429</v>
      </c>
      <c r="O82" s="52">
        <v>441</v>
      </c>
      <c r="P82" s="52">
        <v>455</v>
      </c>
      <c r="Q82" s="52">
        <v>467</v>
      </c>
      <c r="R82" s="52">
        <v>470</v>
      </c>
      <c r="S82" s="52">
        <v>471</v>
      </c>
      <c r="T82" s="52">
        <v>479</v>
      </c>
      <c r="U82" s="52">
        <v>488</v>
      </c>
      <c r="V82" s="52">
        <v>501</v>
      </c>
      <c r="W82" s="52">
        <v>504</v>
      </c>
      <c r="X82" s="52">
        <v>513</v>
      </c>
      <c r="Y82" s="52">
        <v>527</v>
      </c>
    </row>
    <row r="83" spans="1:25" ht="11.5" customHeight="1">
      <c r="A83" s="33" t="s">
        <v>36</v>
      </c>
      <c r="B83" s="52">
        <v>26</v>
      </c>
      <c r="C83" s="52">
        <v>47</v>
      </c>
      <c r="D83" s="52">
        <v>101</v>
      </c>
      <c r="E83" s="52">
        <v>286</v>
      </c>
      <c r="F83" s="52">
        <v>614</v>
      </c>
      <c r="G83" s="52">
        <v>674</v>
      </c>
      <c r="H83" s="52">
        <v>756</v>
      </c>
      <c r="I83" s="52">
        <v>830</v>
      </c>
      <c r="J83" s="52">
        <v>894</v>
      </c>
      <c r="K83" s="52">
        <v>949</v>
      </c>
      <c r="L83" s="52">
        <v>1027</v>
      </c>
      <c r="M83" s="52">
        <v>1077</v>
      </c>
      <c r="N83" s="52">
        <v>1093</v>
      </c>
      <c r="O83" s="52">
        <v>1120</v>
      </c>
      <c r="P83" s="52">
        <v>1117</v>
      </c>
      <c r="Q83" s="52">
        <v>1136</v>
      </c>
      <c r="R83" s="52">
        <v>1154</v>
      </c>
      <c r="S83" s="52">
        <v>1175</v>
      </c>
      <c r="T83" s="52">
        <v>1291</v>
      </c>
      <c r="U83" s="52">
        <v>1382</v>
      </c>
      <c r="V83" s="52">
        <v>1405</v>
      </c>
      <c r="W83" s="52">
        <v>1431</v>
      </c>
      <c r="X83" s="52">
        <v>1479</v>
      </c>
      <c r="Y83" s="52">
        <v>1554</v>
      </c>
    </row>
    <row r="84" spans="1:25" ht="11.5" customHeight="1">
      <c r="A84" s="33" t="s">
        <v>37</v>
      </c>
      <c r="B84" s="52">
        <v>14</v>
      </c>
      <c r="C84" s="52">
        <v>26</v>
      </c>
      <c r="D84" s="52">
        <v>52</v>
      </c>
      <c r="E84" s="52">
        <v>159</v>
      </c>
      <c r="F84" s="52">
        <v>433</v>
      </c>
      <c r="G84" s="52">
        <v>494</v>
      </c>
      <c r="H84" s="52">
        <v>556</v>
      </c>
      <c r="I84" s="52">
        <v>620</v>
      </c>
      <c r="J84" s="52">
        <v>669</v>
      </c>
      <c r="K84" s="52">
        <v>706</v>
      </c>
      <c r="L84" s="52">
        <v>765</v>
      </c>
      <c r="M84" s="52">
        <v>795</v>
      </c>
      <c r="N84" s="52">
        <v>804</v>
      </c>
      <c r="O84" s="52">
        <v>830</v>
      </c>
      <c r="P84" s="52">
        <v>820</v>
      </c>
      <c r="Q84" s="52">
        <v>824</v>
      </c>
      <c r="R84" s="52">
        <v>820</v>
      </c>
      <c r="S84" s="52">
        <v>833</v>
      </c>
      <c r="T84" s="52">
        <v>938</v>
      </c>
      <c r="U84" s="52">
        <v>1014</v>
      </c>
      <c r="V84" s="52">
        <v>1023</v>
      </c>
      <c r="W84" s="52">
        <v>1039</v>
      </c>
      <c r="X84" s="52">
        <v>1073</v>
      </c>
      <c r="Y84" s="52">
        <v>1128</v>
      </c>
    </row>
    <row r="85" spans="1:25" ht="11.5" customHeight="1">
      <c r="A85" s="32" t="s">
        <v>38</v>
      </c>
      <c r="B85" s="52">
        <v>4</v>
      </c>
      <c r="C85" s="52">
        <v>8</v>
      </c>
      <c r="D85" s="52">
        <v>18</v>
      </c>
      <c r="E85" s="52">
        <v>54</v>
      </c>
      <c r="F85" s="52">
        <v>92</v>
      </c>
      <c r="G85" s="52">
        <v>89</v>
      </c>
      <c r="H85" s="52">
        <v>103</v>
      </c>
      <c r="I85" s="52">
        <v>106</v>
      </c>
      <c r="J85" s="52">
        <v>113</v>
      </c>
      <c r="K85" s="52">
        <v>122</v>
      </c>
      <c r="L85" s="52">
        <v>132</v>
      </c>
      <c r="M85" s="52">
        <v>143</v>
      </c>
      <c r="N85" s="52">
        <v>140</v>
      </c>
      <c r="O85" s="52">
        <v>135</v>
      </c>
      <c r="P85" s="52">
        <v>129</v>
      </c>
      <c r="Q85" s="52">
        <v>130</v>
      </c>
      <c r="R85" s="52">
        <v>138</v>
      </c>
      <c r="S85" s="52">
        <v>142</v>
      </c>
      <c r="T85" s="52">
        <v>147</v>
      </c>
      <c r="U85" s="52">
        <v>152</v>
      </c>
      <c r="V85" s="52">
        <v>158</v>
      </c>
      <c r="W85" s="52">
        <v>161</v>
      </c>
      <c r="X85" s="52">
        <v>168</v>
      </c>
      <c r="Y85" s="52">
        <v>176</v>
      </c>
    </row>
    <row r="86" spans="1:25" ht="11.5" customHeight="1">
      <c r="A86" s="32" t="s">
        <v>39</v>
      </c>
      <c r="B86" s="52">
        <v>8</v>
      </c>
      <c r="C86" s="52">
        <v>13</v>
      </c>
      <c r="D86" s="52">
        <v>31</v>
      </c>
      <c r="E86" s="52">
        <v>73</v>
      </c>
      <c r="F86" s="52">
        <v>89</v>
      </c>
      <c r="G86" s="52">
        <v>92</v>
      </c>
      <c r="H86" s="52">
        <v>97</v>
      </c>
      <c r="I86" s="52">
        <v>105</v>
      </c>
      <c r="J86" s="52">
        <v>112</v>
      </c>
      <c r="K86" s="52">
        <v>120</v>
      </c>
      <c r="L86" s="52">
        <v>130</v>
      </c>
      <c r="M86" s="52">
        <v>139</v>
      </c>
      <c r="N86" s="52">
        <v>149</v>
      </c>
      <c r="O86" s="52">
        <v>155</v>
      </c>
      <c r="P86" s="52">
        <v>168</v>
      </c>
      <c r="Q86" s="52">
        <v>182</v>
      </c>
      <c r="R86" s="52">
        <v>195</v>
      </c>
      <c r="S86" s="52">
        <v>200</v>
      </c>
      <c r="T86" s="52">
        <v>206</v>
      </c>
      <c r="U86" s="52">
        <v>216</v>
      </c>
      <c r="V86" s="52">
        <v>224</v>
      </c>
      <c r="W86" s="52">
        <v>231</v>
      </c>
      <c r="X86" s="52">
        <v>238</v>
      </c>
      <c r="Y86" s="52">
        <v>250</v>
      </c>
    </row>
    <row r="87" spans="1:25" ht="12.65" customHeight="1">
      <c r="A87" s="34" t="s">
        <v>40</v>
      </c>
      <c r="B87" s="52">
        <v>0</v>
      </c>
      <c r="C87" s="52">
        <v>4</v>
      </c>
      <c r="D87" s="52">
        <v>12</v>
      </c>
      <c r="E87" s="52">
        <v>28</v>
      </c>
      <c r="F87" s="52">
        <v>61</v>
      </c>
      <c r="G87" s="52">
        <v>69</v>
      </c>
      <c r="H87" s="52">
        <v>79</v>
      </c>
      <c r="I87" s="52">
        <v>87</v>
      </c>
      <c r="J87" s="52">
        <v>92</v>
      </c>
      <c r="K87" s="52">
        <v>96</v>
      </c>
      <c r="L87" s="52">
        <v>96</v>
      </c>
      <c r="M87" s="52">
        <v>97</v>
      </c>
      <c r="N87" s="52">
        <v>96</v>
      </c>
      <c r="O87" s="52">
        <v>97</v>
      </c>
      <c r="P87" s="52">
        <v>98</v>
      </c>
      <c r="Q87" s="52">
        <v>106</v>
      </c>
      <c r="R87" s="52">
        <v>109</v>
      </c>
      <c r="S87" s="52">
        <v>119</v>
      </c>
      <c r="T87" s="52">
        <v>133</v>
      </c>
      <c r="U87" s="52">
        <v>134</v>
      </c>
      <c r="V87" s="52">
        <v>140</v>
      </c>
      <c r="W87" s="52">
        <v>139</v>
      </c>
      <c r="X87" s="52">
        <v>145</v>
      </c>
      <c r="Y87" s="52">
        <v>149</v>
      </c>
    </row>
    <row r="88" spans="1:25" ht="12.65" customHeight="1">
      <c r="A88" s="34" t="s">
        <v>41</v>
      </c>
      <c r="B88" s="52">
        <v>5</v>
      </c>
      <c r="C88" s="52">
        <v>9</v>
      </c>
      <c r="D88" s="52">
        <v>40</v>
      </c>
      <c r="E88" s="52">
        <v>123</v>
      </c>
      <c r="F88" s="52">
        <v>223</v>
      </c>
      <c r="G88" s="52">
        <v>244</v>
      </c>
      <c r="H88" s="52">
        <v>307</v>
      </c>
      <c r="I88" s="52">
        <v>364</v>
      </c>
      <c r="J88" s="52">
        <v>385</v>
      </c>
      <c r="K88" s="52">
        <v>410</v>
      </c>
      <c r="L88" s="52">
        <v>453</v>
      </c>
      <c r="M88" s="52">
        <v>470</v>
      </c>
      <c r="N88" s="52">
        <v>451</v>
      </c>
      <c r="O88" s="52">
        <v>441</v>
      </c>
      <c r="P88" s="52">
        <v>486</v>
      </c>
      <c r="Q88" s="52">
        <v>500</v>
      </c>
      <c r="R88" s="52">
        <v>515</v>
      </c>
      <c r="S88" s="52">
        <v>534</v>
      </c>
      <c r="T88" s="52">
        <v>593</v>
      </c>
      <c r="U88" s="52">
        <v>622</v>
      </c>
      <c r="V88" s="52">
        <v>653</v>
      </c>
      <c r="W88" s="52">
        <v>675</v>
      </c>
      <c r="X88" s="52">
        <v>765</v>
      </c>
      <c r="Y88" s="52">
        <v>732</v>
      </c>
    </row>
    <row r="89" spans="1:25" ht="11.5" customHeight="1">
      <c r="A89" s="33" t="s">
        <v>42</v>
      </c>
      <c r="B89" s="52">
        <v>2</v>
      </c>
      <c r="C89" s="52">
        <v>6</v>
      </c>
      <c r="D89" s="52">
        <v>28</v>
      </c>
      <c r="E89" s="52">
        <v>79</v>
      </c>
      <c r="F89" s="52">
        <v>153</v>
      </c>
      <c r="G89" s="52">
        <v>164</v>
      </c>
      <c r="H89" s="52">
        <v>182</v>
      </c>
      <c r="I89" s="52">
        <v>187</v>
      </c>
      <c r="J89" s="52">
        <v>188</v>
      </c>
      <c r="K89" s="52">
        <v>194</v>
      </c>
      <c r="L89" s="52">
        <v>204</v>
      </c>
      <c r="M89" s="52">
        <v>219</v>
      </c>
      <c r="N89" s="52">
        <v>236</v>
      </c>
      <c r="O89" s="52">
        <v>242</v>
      </c>
      <c r="P89" s="52">
        <v>245</v>
      </c>
      <c r="Q89" s="52">
        <v>239</v>
      </c>
      <c r="R89" s="52">
        <v>246</v>
      </c>
      <c r="S89" s="52">
        <v>258</v>
      </c>
      <c r="T89" s="52">
        <v>265</v>
      </c>
      <c r="U89" s="52">
        <v>268</v>
      </c>
      <c r="V89" s="52">
        <v>274</v>
      </c>
      <c r="W89" s="52">
        <v>284</v>
      </c>
      <c r="X89" s="52">
        <v>290</v>
      </c>
      <c r="Y89" s="52">
        <v>298</v>
      </c>
    </row>
    <row r="90" spans="1:25" ht="11.5" customHeight="1">
      <c r="A90" s="35" t="s">
        <v>43</v>
      </c>
      <c r="B90" s="52">
        <v>14</v>
      </c>
      <c r="C90" s="52">
        <v>37</v>
      </c>
      <c r="D90" s="52">
        <v>89</v>
      </c>
      <c r="E90" s="52">
        <v>191</v>
      </c>
      <c r="F90" s="52">
        <v>304</v>
      </c>
      <c r="G90" s="52">
        <v>316</v>
      </c>
      <c r="H90" s="52">
        <v>353</v>
      </c>
      <c r="I90" s="52">
        <v>374</v>
      </c>
      <c r="J90" s="52">
        <v>400</v>
      </c>
      <c r="K90" s="52">
        <v>425</v>
      </c>
      <c r="L90" s="52">
        <v>446</v>
      </c>
      <c r="M90" s="52">
        <v>486</v>
      </c>
      <c r="N90" s="52">
        <v>514</v>
      </c>
      <c r="O90" s="52">
        <v>480</v>
      </c>
      <c r="P90" s="52">
        <v>492</v>
      </c>
      <c r="Q90" s="52">
        <v>510</v>
      </c>
      <c r="R90" s="52">
        <v>521</v>
      </c>
      <c r="S90" s="52">
        <v>517</v>
      </c>
      <c r="T90" s="52">
        <v>502</v>
      </c>
      <c r="U90" s="52">
        <v>513</v>
      </c>
      <c r="V90" s="52">
        <v>518</v>
      </c>
      <c r="W90" s="52">
        <v>559</v>
      </c>
      <c r="X90" s="52">
        <v>583</v>
      </c>
      <c r="Y90" s="52">
        <v>615</v>
      </c>
    </row>
    <row r="91" spans="1:25" ht="12.65" customHeight="1">
      <c r="A91" s="32" t="s">
        <v>44</v>
      </c>
      <c r="B91" s="52">
        <v>4</v>
      </c>
      <c r="C91" s="52">
        <v>9</v>
      </c>
      <c r="D91" s="52">
        <v>24</v>
      </c>
      <c r="E91" s="52">
        <v>50</v>
      </c>
      <c r="F91" s="52">
        <v>90</v>
      </c>
      <c r="G91" s="52">
        <v>100</v>
      </c>
      <c r="H91" s="52">
        <v>111</v>
      </c>
      <c r="I91" s="52">
        <v>120</v>
      </c>
      <c r="J91" s="52">
        <v>132</v>
      </c>
      <c r="K91" s="52">
        <v>137</v>
      </c>
      <c r="L91" s="52">
        <v>138</v>
      </c>
      <c r="M91" s="52">
        <v>141</v>
      </c>
      <c r="N91" s="52">
        <v>146</v>
      </c>
      <c r="O91" s="52">
        <v>148</v>
      </c>
      <c r="P91" s="52">
        <v>159</v>
      </c>
      <c r="Q91" s="52">
        <v>159</v>
      </c>
      <c r="R91" s="52">
        <v>154</v>
      </c>
      <c r="S91" s="52">
        <v>148</v>
      </c>
      <c r="T91" s="52">
        <v>145</v>
      </c>
      <c r="U91" s="52">
        <v>145</v>
      </c>
      <c r="V91" s="52">
        <v>147</v>
      </c>
      <c r="W91" s="52">
        <v>155</v>
      </c>
      <c r="X91" s="52">
        <v>164</v>
      </c>
      <c r="Y91" s="52">
        <v>173</v>
      </c>
    </row>
    <row r="92" spans="1:25" ht="11.5" customHeight="1">
      <c r="A92" s="32" t="s">
        <v>45</v>
      </c>
      <c r="B92" s="53">
        <v>10</v>
      </c>
      <c r="C92" s="53">
        <v>28</v>
      </c>
      <c r="D92" s="53">
        <v>66</v>
      </c>
      <c r="E92" s="53">
        <v>141</v>
      </c>
      <c r="F92" s="53">
        <v>213</v>
      </c>
      <c r="G92" s="53">
        <v>216</v>
      </c>
      <c r="H92" s="53">
        <v>242</v>
      </c>
      <c r="I92" s="53">
        <v>254</v>
      </c>
      <c r="J92" s="53">
        <v>268</v>
      </c>
      <c r="K92" s="53">
        <v>289</v>
      </c>
      <c r="L92" s="53">
        <v>308</v>
      </c>
      <c r="M92" s="53">
        <v>344</v>
      </c>
      <c r="N92" s="53">
        <v>369</v>
      </c>
      <c r="O92" s="53">
        <v>332</v>
      </c>
      <c r="P92" s="53">
        <v>333</v>
      </c>
      <c r="Q92" s="53">
        <v>351</v>
      </c>
      <c r="R92" s="53">
        <v>366</v>
      </c>
      <c r="S92" s="53">
        <v>369</v>
      </c>
      <c r="T92" s="53">
        <v>357</v>
      </c>
      <c r="U92" s="53">
        <v>368</v>
      </c>
      <c r="V92" s="53">
        <v>371</v>
      </c>
      <c r="W92" s="53">
        <v>404</v>
      </c>
      <c r="X92" s="53">
        <v>419</v>
      </c>
      <c r="Y92" s="53">
        <v>443</v>
      </c>
    </row>
    <row r="93" spans="1:25">
      <c r="A93" s="525" t="s">
        <v>51</v>
      </c>
      <c r="B93" s="525"/>
      <c r="C93" s="525"/>
      <c r="D93" s="525"/>
      <c r="E93" s="525"/>
      <c r="F93" s="525"/>
      <c r="G93" s="525"/>
      <c r="H93" s="525"/>
      <c r="I93" s="525"/>
      <c r="J93" s="525"/>
      <c r="K93" s="525"/>
      <c r="L93" s="525"/>
      <c r="M93" s="525"/>
      <c r="N93" s="525"/>
      <c r="O93" s="525"/>
      <c r="P93" s="525"/>
      <c r="Q93" s="525"/>
    </row>
    <row r="94" spans="1:25">
      <c r="A94" s="526" t="s">
        <v>52</v>
      </c>
      <c r="B94" s="526"/>
      <c r="C94" s="526"/>
      <c r="D94" s="526"/>
      <c r="E94" s="526"/>
      <c r="F94" s="526"/>
      <c r="G94" s="526"/>
      <c r="H94" s="526"/>
      <c r="I94" s="526"/>
      <c r="J94" s="526"/>
      <c r="K94" s="526"/>
      <c r="L94" s="526"/>
      <c r="M94" s="526"/>
      <c r="N94" s="526"/>
      <c r="O94" s="526"/>
      <c r="P94" s="526"/>
      <c r="Q94" s="526"/>
    </row>
    <row r="95" spans="1:25">
      <c r="A95" s="526" t="s">
        <v>53</v>
      </c>
      <c r="B95" s="526"/>
      <c r="C95" s="526"/>
      <c r="D95" s="526"/>
      <c r="E95" s="526"/>
      <c r="F95" s="526"/>
      <c r="G95" s="526"/>
      <c r="H95" s="526"/>
      <c r="I95" s="526"/>
      <c r="J95" s="526"/>
      <c r="K95" s="526"/>
      <c r="L95" s="526"/>
      <c r="M95" s="526"/>
      <c r="N95" s="526"/>
      <c r="O95" s="526"/>
      <c r="P95" s="526"/>
      <c r="Q95" s="526"/>
    </row>
    <row r="96" spans="1:25">
      <c r="A96" s="526" t="s">
        <v>54</v>
      </c>
      <c r="B96" s="526"/>
      <c r="C96" s="526"/>
      <c r="D96" s="526"/>
      <c r="E96" s="526"/>
      <c r="F96" s="526"/>
      <c r="G96" s="526"/>
      <c r="H96" s="526"/>
      <c r="I96" s="526"/>
      <c r="J96" s="526"/>
      <c r="K96" s="526"/>
      <c r="L96" s="526"/>
      <c r="M96" s="526"/>
      <c r="N96" s="526"/>
      <c r="O96" s="526"/>
      <c r="P96" s="526"/>
      <c r="Q96" s="526"/>
    </row>
    <row r="97" spans="1:17">
      <c r="A97" s="526" t="s">
        <v>55</v>
      </c>
      <c r="B97" s="526"/>
      <c r="C97" s="526"/>
      <c r="D97" s="526"/>
      <c r="E97" s="526"/>
      <c r="F97" s="526"/>
      <c r="G97" s="526"/>
      <c r="H97" s="526"/>
      <c r="I97" s="526"/>
      <c r="J97" s="526"/>
      <c r="K97" s="526"/>
      <c r="L97" s="526"/>
      <c r="M97" s="526"/>
      <c r="N97" s="526"/>
      <c r="O97" s="526"/>
      <c r="P97" s="526"/>
      <c r="Q97" s="526"/>
    </row>
    <row r="98" spans="1:17">
      <c r="A98" s="526" t="s">
        <v>56</v>
      </c>
      <c r="B98" s="526"/>
      <c r="C98" s="526"/>
      <c r="D98" s="526"/>
      <c r="E98" s="526"/>
      <c r="F98" s="526"/>
      <c r="G98" s="526"/>
      <c r="H98" s="526"/>
      <c r="I98" s="526"/>
      <c r="J98" s="526"/>
      <c r="K98" s="526"/>
      <c r="L98" s="526"/>
      <c r="M98" s="526"/>
      <c r="N98" s="526"/>
      <c r="O98" s="526"/>
      <c r="P98" s="526"/>
      <c r="Q98" s="526"/>
    </row>
    <row r="99" spans="1:17">
      <c r="A99" s="32" t="s">
        <v>57</v>
      </c>
      <c r="B99" s="32"/>
      <c r="C99" s="32"/>
      <c r="D99" s="32"/>
      <c r="E99" s="32"/>
      <c r="F99" s="32"/>
      <c r="G99" s="32"/>
      <c r="H99" s="32"/>
      <c r="I99" s="32"/>
      <c r="J99" s="32"/>
      <c r="K99" s="32"/>
      <c r="L99" s="32"/>
      <c r="M99" s="32"/>
      <c r="N99" s="32"/>
      <c r="O99" s="32"/>
      <c r="P99" s="32"/>
      <c r="Q99" s="32"/>
    </row>
    <row r="100" spans="1:17">
      <c r="A100" s="526" t="s">
        <v>58</v>
      </c>
      <c r="B100" s="526"/>
      <c r="C100" s="526"/>
      <c r="D100" s="526"/>
      <c r="E100" s="526"/>
      <c r="F100" s="526"/>
      <c r="G100" s="526"/>
      <c r="H100" s="526"/>
      <c r="I100" s="526"/>
      <c r="J100" s="526"/>
      <c r="K100" s="526"/>
      <c r="L100" s="526"/>
      <c r="M100" s="526"/>
      <c r="N100" s="526"/>
      <c r="O100" s="526"/>
      <c r="P100" s="526"/>
      <c r="Q100" s="526"/>
    </row>
    <row r="101" spans="1:17">
      <c r="A101" s="54"/>
      <c r="B101" s="54"/>
      <c r="C101" s="54"/>
      <c r="D101" s="54"/>
      <c r="E101" s="54"/>
    </row>
    <row r="102" spans="1:17">
      <c r="A102" s="54"/>
      <c r="B102" s="54"/>
      <c r="C102" s="54"/>
      <c r="D102" s="54"/>
      <c r="E102" s="54"/>
    </row>
    <row r="125" spans="1:5">
      <c r="A125" s="54"/>
      <c r="B125" s="54"/>
      <c r="C125" s="54"/>
      <c r="D125" s="54"/>
      <c r="E125" s="54"/>
    </row>
    <row r="126" spans="1:5">
      <c r="A126" s="54"/>
      <c r="B126" s="54"/>
      <c r="C126" s="54"/>
      <c r="D126" s="54"/>
      <c r="E126" s="54"/>
    </row>
    <row r="127" spans="1:5">
      <c r="A127" s="54"/>
      <c r="B127" s="54"/>
      <c r="C127" s="54"/>
      <c r="D127" s="54"/>
      <c r="E127" s="54"/>
    </row>
    <row r="128" spans="1:5">
      <c r="A128" s="54"/>
      <c r="B128" s="54"/>
      <c r="C128" s="54"/>
      <c r="D128" s="54"/>
      <c r="E128" s="54"/>
    </row>
    <row r="129" spans="1:5">
      <c r="A129" s="54"/>
      <c r="B129" s="54"/>
      <c r="C129" s="54"/>
      <c r="D129" s="54"/>
      <c r="E129" s="54"/>
    </row>
    <row r="130" spans="1:5">
      <c r="A130" s="54"/>
      <c r="B130" s="54"/>
      <c r="C130" s="54"/>
      <c r="D130" s="54"/>
      <c r="E130" s="54"/>
    </row>
    <row r="131" spans="1:5">
      <c r="A131" s="54"/>
      <c r="B131" s="54"/>
      <c r="C131" s="54"/>
      <c r="D131" s="54"/>
      <c r="E131" s="54"/>
    </row>
    <row r="132" spans="1:5">
      <c r="A132" s="54"/>
      <c r="B132" s="54"/>
      <c r="C132" s="54"/>
      <c r="D132" s="54"/>
      <c r="E132" s="54"/>
    </row>
    <row r="133" spans="1:5">
      <c r="A133" s="54"/>
      <c r="B133" s="54"/>
      <c r="C133" s="54"/>
      <c r="D133" s="54"/>
      <c r="E133" s="54"/>
    </row>
    <row r="134" spans="1:5">
      <c r="A134" s="54"/>
      <c r="B134" s="54"/>
      <c r="C134" s="54"/>
      <c r="D134" s="54"/>
      <c r="E134" s="54"/>
    </row>
    <row r="135" spans="1:5">
      <c r="A135" s="54"/>
      <c r="B135" s="54"/>
      <c r="C135" s="54"/>
      <c r="D135" s="54"/>
      <c r="E135" s="54"/>
    </row>
    <row r="136" spans="1:5">
      <c r="A136" s="54"/>
      <c r="B136" s="54"/>
      <c r="C136" s="54"/>
      <c r="D136" s="54"/>
      <c r="E136" s="54"/>
    </row>
    <row r="137" spans="1:5">
      <c r="A137" s="54"/>
      <c r="B137" s="54"/>
      <c r="C137" s="54"/>
      <c r="D137" s="54"/>
      <c r="E137" s="54"/>
    </row>
    <row r="138" spans="1:5">
      <c r="A138" s="54"/>
      <c r="B138" s="54"/>
      <c r="C138" s="54"/>
      <c r="D138" s="54"/>
      <c r="E138" s="54"/>
    </row>
    <row r="139" spans="1:5">
      <c r="A139" s="54"/>
      <c r="B139" s="54"/>
      <c r="C139" s="54"/>
      <c r="D139" s="54"/>
      <c r="E139" s="54"/>
    </row>
    <row r="140" spans="1:5">
      <c r="A140" s="54"/>
      <c r="B140" s="54"/>
      <c r="C140" s="54"/>
      <c r="D140" s="54"/>
      <c r="E140" s="54"/>
    </row>
    <row r="141" spans="1:5">
      <c r="A141" s="54"/>
      <c r="B141" s="54"/>
      <c r="C141" s="54"/>
      <c r="D141" s="54"/>
      <c r="E141" s="54"/>
    </row>
    <row r="142" spans="1:5">
      <c r="A142" s="54"/>
      <c r="B142" s="54"/>
      <c r="C142" s="54"/>
      <c r="D142" s="54"/>
      <c r="E142" s="54"/>
    </row>
    <row r="143" spans="1:5">
      <c r="A143" s="54"/>
      <c r="B143" s="54"/>
      <c r="C143" s="54"/>
      <c r="D143" s="54"/>
      <c r="E143" s="54"/>
    </row>
    <row r="144" spans="1:5">
      <c r="A144" s="54"/>
      <c r="B144" s="54"/>
      <c r="C144" s="54"/>
      <c r="D144" s="54"/>
      <c r="E144" s="54"/>
    </row>
    <row r="145" spans="1:5">
      <c r="A145" s="54"/>
      <c r="B145" s="54"/>
      <c r="C145" s="54"/>
      <c r="D145" s="54"/>
      <c r="E145" s="54"/>
    </row>
    <row r="146" spans="1:5">
      <c r="A146" s="54"/>
      <c r="B146" s="54"/>
      <c r="C146" s="54"/>
      <c r="D146" s="54"/>
      <c r="E146" s="54"/>
    </row>
    <row r="147" spans="1:5">
      <c r="A147" s="54"/>
      <c r="B147" s="54"/>
      <c r="C147" s="54"/>
      <c r="D147" s="54"/>
      <c r="E147" s="54"/>
    </row>
    <row r="148" spans="1:5">
      <c r="A148" s="54"/>
      <c r="B148" s="54"/>
      <c r="C148" s="54"/>
      <c r="D148" s="54"/>
      <c r="E148" s="54"/>
    </row>
    <row r="149" spans="1:5">
      <c r="A149" s="54"/>
      <c r="B149" s="54"/>
      <c r="C149" s="54"/>
      <c r="D149" s="54"/>
      <c r="E149" s="54"/>
    </row>
    <row r="150" spans="1:5">
      <c r="A150" s="54"/>
      <c r="B150" s="54"/>
      <c r="C150" s="54"/>
      <c r="D150" s="54"/>
      <c r="E150" s="54"/>
    </row>
    <row r="151" spans="1:5">
      <c r="A151" s="54"/>
      <c r="B151" s="54"/>
      <c r="C151" s="54"/>
      <c r="D151" s="54"/>
      <c r="E151" s="54"/>
    </row>
    <row r="152" spans="1:5">
      <c r="A152" s="54"/>
      <c r="B152" s="54"/>
      <c r="C152" s="54"/>
      <c r="D152" s="54"/>
      <c r="E152" s="54"/>
    </row>
    <row r="153" spans="1:5">
      <c r="A153" s="54"/>
      <c r="B153" s="54"/>
      <c r="C153" s="54"/>
      <c r="D153" s="54"/>
      <c r="E153" s="54"/>
    </row>
    <row r="154" spans="1:5">
      <c r="A154" s="54"/>
      <c r="B154" s="54"/>
      <c r="C154" s="54"/>
      <c r="D154" s="54"/>
      <c r="E154" s="54"/>
    </row>
    <row r="155" spans="1:5">
      <c r="A155" s="54"/>
      <c r="B155" s="54"/>
      <c r="C155" s="54"/>
      <c r="D155" s="54"/>
      <c r="E155" s="54"/>
    </row>
    <row r="156" spans="1:5">
      <c r="A156" s="54"/>
      <c r="B156" s="54"/>
      <c r="C156" s="54"/>
      <c r="D156" s="54"/>
      <c r="E156" s="54"/>
    </row>
    <row r="157" spans="1:5">
      <c r="A157" s="54"/>
      <c r="B157" s="54"/>
      <c r="C157" s="54"/>
      <c r="D157" s="54"/>
      <c r="E157" s="54"/>
    </row>
    <row r="158" spans="1:5">
      <c r="A158" s="54"/>
      <c r="B158" s="54"/>
      <c r="C158" s="54"/>
      <c r="D158" s="54"/>
      <c r="E158" s="54"/>
    </row>
    <row r="159" spans="1:5">
      <c r="A159" s="54"/>
      <c r="B159" s="54"/>
      <c r="C159" s="54"/>
      <c r="D159" s="54"/>
      <c r="E159" s="54"/>
    </row>
    <row r="160" spans="1:5">
      <c r="A160" s="54"/>
      <c r="B160" s="54"/>
      <c r="C160" s="54"/>
      <c r="D160" s="54"/>
      <c r="E160" s="54"/>
    </row>
    <row r="161" spans="1:5">
      <c r="A161" s="54"/>
      <c r="B161" s="54"/>
      <c r="C161" s="54"/>
      <c r="D161" s="54"/>
      <c r="E161" s="54"/>
    </row>
    <row r="162" spans="1:5">
      <c r="A162" s="54"/>
      <c r="B162" s="54"/>
      <c r="C162" s="54"/>
      <c r="D162" s="54"/>
      <c r="E162" s="54"/>
    </row>
    <row r="163" spans="1:5">
      <c r="A163" s="54"/>
      <c r="B163" s="54"/>
      <c r="C163" s="54"/>
      <c r="D163" s="54"/>
      <c r="E163" s="54"/>
    </row>
    <row r="164" spans="1:5">
      <c r="A164" s="54"/>
      <c r="B164" s="54"/>
      <c r="C164" s="54"/>
      <c r="D164" s="54"/>
      <c r="E164" s="54"/>
    </row>
    <row r="165" spans="1:5">
      <c r="A165" s="54"/>
      <c r="B165" s="54"/>
      <c r="C165" s="54"/>
      <c r="D165" s="54"/>
      <c r="E165" s="54"/>
    </row>
    <row r="166" spans="1:5">
      <c r="A166" s="54"/>
      <c r="B166" s="54"/>
      <c r="C166" s="54"/>
      <c r="D166" s="54"/>
      <c r="E166" s="54"/>
    </row>
    <row r="167" spans="1:5">
      <c r="A167" s="54"/>
      <c r="B167" s="54"/>
      <c r="C167" s="54"/>
      <c r="D167" s="54"/>
      <c r="E167" s="54"/>
    </row>
    <row r="168" spans="1:5">
      <c r="A168" s="54"/>
      <c r="B168" s="54"/>
      <c r="C168" s="54"/>
      <c r="D168" s="54"/>
      <c r="E168" s="54"/>
    </row>
    <row r="169" spans="1:5">
      <c r="A169" s="54"/>
      <c r="B169" s="54"/>
      <c r="C169" s="54"/>
      <c r="D169" s="54"/>
      <c r="E169" s="54"/>
    </row>
    <row r="170" spans="1:5">
      <c r="A170" s="54"/>
      <c r="B170" s="54"/>
      <c r="C170" s="54"/>
      <c r="D170" s="54"/>
      <c r="E170" s="54"/>
    </row>
    <row r="171" spans="1:5">
      <c r="A171" s="54"/>
      <c r="B171" s="54"/>
      <c r="C171" s="54"/>
      <c r="D171" s="54"/>
      <c r="E171" s="54"/>
    </row>
    <row r="172" spans="1:5">
      <c r="A172" s="54"/>
      <c r="B172" s="54"/>
      <c r="C172" s="54"/>
      <c r="D172" s="54"/>
      <c r="E172" s="54"/>
    </row>
    <row r="173" spans="1:5">
      <c r="A173" s="54"/>
      <c r="B173" s="54"/>
      <c r="C173" s="54"/>
      <c r="D173" s="54"/>
      <c r="E173" s="54"/>
    </row>
    <row r="174" spans="1:5">
      <c r="A174" s="54"/>
      <c r="B174" s="54"/>
      <c r="C174" s="54"/>
      <c r="D174" s="54"/>
      <c r="E174" s="54"/>
    </row>
    <row r="175" spans="1:5">
      <c r="A175" s="54"/>
      <c r="B175" s="54"/>
      <c r="C175" s="54"/>
      <c r="D175" s="54"/>
      <c r="E175" s="54"/>
    </row>
    <row r="176" spans="1:5">
      <c r="A176" s="54"/>
      <c r="B176" s="54"/>
      <c r="C176" s="54"/>
      <c r="D176" s="54"/>
      <c r="E176" s="54"/>
    </row>
    <row r="177" spans="1:5">
      <c r="A177" s="54"/>
      <c r="B177" s="54"/>
      <c r="C177" s="54"/>
      <c r="D177" s="54"/>
      <c r="E177" s="54"/>
    </row>
    <row r="178" spans="1:5">
      <c r="A178" s="54"/>
      <c r="B178" s="54"/>
      <c r="C178" s="54"/>
      <c r="D178" s="54"/>
      <c r="E178" s="54"/>
    </row>
    <row r="179" spans="1:5">
      <c r="A179" s="54"/>
      <c r="B179" s="54"/>
      <c r="C179" s="54"/>
      <c r="D179" s="54"/>
      <c r="E179" s="54"/>
    </row>
    <row r="180" spans="1:5">
      <c r="A180" s="54"/>
      <c r="B180" s="54"/>
      <c r="C180" s="54"/>
      <c r="D180" s="54"/>
      <c r="E180" s="54"/>
    </row>
    <row r="181" spans="1:5">
      <c r="A181" s="54"/>
      <c r="B181" s="54"/>
      <c r="C181" s="54"/>
      <c r="D181" s="54"/>
      <c r="E181" s="54"/>
    </row>
    <row r="182" spans="1:5">
      <c r="A182" s="54"/>
      <c r="B182" s="54"/>
      <c r="C182" s="54"/>
      <c r="D182" s="54"/>
      <c r="E182" s="54"/>
    </row>
    <row r="183" spans="1:5">
      <c r="A183" s="54"/>
      <c r="B183" s="54"/>
      <c r="C183" s="54"/>
      <c r="D183" s="54"/>
      <c r="E183" s="54"/>
    </row>
    <row r="184" spans="1:5">
      <c r="A184" s="54"/>
      <c r="B184" s="54"/>
      <c r="C184" s="54"/>
      <c r="D184" s="54"/>
      <c r="E184" s="54"/>
    </row>
    <row r="185" spans="1:5">
      <c r="A185" s="54"/>
      <c r="B185" s="54"/>
      <c r="C185" s="54"/>
      <c r="D185" s="54"/>
      <c r="E185" s="54"/>
    </row>
    <row r="186" spans="1:5">
      <c r="A186" s="54"/>
      <c r="B186" s="54"/>
      <c r="C186" s="54"/>
      <c r="D186" s="54"/>
      <c r="E186" s="54"/>
    </row>
    <row r="187" spans="1:5">
      <c r="A187" s="54"/>
      <c r="B187" s="54"/>
      <c r="C187" s="54"/>
      <c r="D187" s="54"/>
      <c r="E187" s="54"/>
    </row>
    <row r="188" spans="1:5">
      <c r="A188" s="54"/>
      <c r="B188" s="54"/>
      <c r="C188" s="54"/>
      <c r="D188" s="54"/>
      <c r="E188" s="54"/>
    </row>
    <row r="189" spans="1:5">
      <c r="A189" s="54"/>
      <c r="B189" s="54"/>
      <c r="C189" s="54"/>
      <c r="D189" s="54"/>
      <c r="E189" s="54"/>
    </row>
    <row r="190" spans="1:5">
      <c r="A190" s="54"/>
      <c r="B190" s="54"/>
      <c r="C190" s="54"/>
      <c r="D190" s="54"/>
      <c r="E190" s="54"/>
    </row>
    <row r="191" spans="1:5">
      <c r="A191" s="54"/>
      <c r="B191" s="54"/>
      <c r="C191" s="54"/>
      <c r="D191" s="54"/>
      <c r="E191" s="54"/>
    </row>
    <row r="192" spans="1:5">
      <c r="A192" s="54"/>
      <c r="B192" s="54"/>
      <c r="C192" s="54"/>
      <c r="D192" s="54"/>
      <c r="E192" s="54"/>
    </row>
    <row r="193" spans="1:5">
      <c r="A193" s="54"/>
      <c r="B193" s="54"/>
      <c r="C193" s="54"/>
      <c r="D193" s="54"/>
      <c r="E193" s="54"/>
    </row>
    <row r="194" spans="1:5">
      <c r="A194" s="54"/>
      <c r="B194" s="54"/>
      <c r="C194" s="54"/>
      <c r="D194" s="54"/>
      <c r="E194" s="54"/>
    </row>
    <row r="195" spans="1:5">
      <c r="A195" s="54"/>
      <c r="B195" s="54"/>
      <c r="C195" s="54"/>
      <c r="D195" s="54"/>
      <c r="E195" s="54"/>
    </row>
    <row r="196" spans="1:5">
      <c r="A196" s="54"/>
      <c r="B196" s="54"/>
      <c r="C196" s="54"/>
      <c r="D196" s="54"/>
      <c r="E196" s="54"/>
    </row>
    <row r="197" spans="1:5">
      <c r="A197" s="54"/>
      <c r="B197" s="54"/>
      <c r="C197" s="54"/>
      <c r="D197" s="54"/>
      <c r="E197" s="54"/>
    </row>
    <row r="198" spans="1:5">
      <c r="A198" s="54"/>
      <c r="B198" s="54"/>
      <c r="C198" s="54"/>
      <c r="D198" s="54"/>
      <c r="E198" s="54"/>
    </row>
    <row r="199" spans="1:5">
      <c r="A199" s="54"/>
      <c r="B199" s="54"/>
      <c r="C199" s="54"/>
      <c r="D199" s="54"/>
      <c r="E199" s="54"/>
    </row>
    <row r="200" spans="1:5">
      <c r="A200" s="54"/>
      <c r="B200" s="54"/>
      <c r="C200" s="54"/>
      <c r="D200" s="54"/>
      <c r="E200" s="54"/>
    </row>
    <row r="201" spans="1:5">
      <c r="A201" s="54"/>
      <c r="B201" s="54"/>
      <c r="C201" s="54"/>
      <c r="D201" s="54"/>
      <c r="E201" s="54"/>
    </row>
    <row r="202" spans="1:5">
      <c r="A202" s="54"/>
      <c r="B202" s="54"/>
      <c r="C202" s="54"/>
      <c r="D202" s="54"/>
      <c r="E202" s="54"/>
    </row>
    <row r="203" spans="1:5">
      <c r="A203" s="54"/>
      <c r="B203" s="54"/>
      <c r="C203" s="54"/>
      <c r="D203" s="54"/>
      <c r="E203" s="54"/>
    </row>
    <row r="204" spans="1:5">
      <c r="A204" s="54"/>
      <c r="B204" s="54"/>
      <c r="C204" s="54"/>
      <c r="D204" s="54"/>
      <c r="E204" s="54"/>
    </row>
    <row r="205" spans="1:5">
      <c r="A205" s="54"/>
      <c r="B205" s="54"/>
      <c r="C205" s="54"/>
      <c r="D205" s="54"/>
      <c r="E205" s="54"/>
    </row>
    <row r="206" spans="1:5">
      <c r="A206" s="54"/>
      <c r="B206" s="54"/>
      <c r="C206" s="54"/>
      <c r="D206" s="54"/>
      <c r="E206" s="54"/>
    </row>
    <row r="207" spans="1:5">
      <c r="A207" s="54"/>
      <c r="B207" s="54"/>
      <c r="C207" s="54"/>
      <c r="D207" s="54"/>
      <c r="E207" s="54"/>
    </row>
    <row r="208" spans="1:5">
      <c r="A208" s="54"/>
      <c r="B208" s="54"/>
      <c r="C208" s="54"/>
      <c r="D208" s="54"/>
      <c r="E208" s="54"/>
    </row>
    <row r="209" spans="1:5">
      <c r="A209" s="54"/>
      <c r="B209" s="54"/>
      <c r="C209" s="54"/>
      <c r="D209" s="54"/>
      <c r="E209" s="54"/>
    </row>
    <row r="210" spans="1:5">
      <c r="A210" s="54"/>
      <c r="B210" s="54"/>
      <c r="C210" s="54"/>
      <c r="D210" s="54"/>
      <c r="E210" s="54"/>
    </row>
    <row r="211" spans="1:5">
      <c r="A211" s="54"/>
      <c r="B211" s="54"/>
      <c r="C211" s="54"/>
      <c r="D211" s="54"/>
      <c r="E211" s="54"/>
    </row>
    <row r="212" spans="1:5">
      <c r="A212" s="54"/>
      <c r="B212" s="54"/>
      <c r="C212" s="54"/>
      <c r="D212" s="54"/>
      <c r="E212" s="54"/>
    </row>
    <row r="213" spans="1:5">
      <c r="A213" s="54"/>
      <c r="B213" s="54"/>
      <c r="C213" s="54"/>
      <c r="D213" s="54"/>
      <c r="E213" s="54"/>
    </row>
    <row r="214" spans="1:5">
      <c r="A214" s="54"/>
      <c r="B214" s="54"/>
      <c r="C214" s="54"/>
      <c r="D214" s="54"/>
      <c r="E214" s="54"/>
    </row>
    <row r="215" spans="1:5">
      <c r="A215" s="54"/>
      <c r="B215" s="54"/>
      <c r="C215" s="54"/>
      <c r="D215" s="54"/>
      <c r="E215" s="54"/>
    </row>
    <row r="216" spans="1:5">
      <c r="A216" s="54"/>
      <c r="B216" s="54"/>
      <c r="C216" s="54"/>
      <c r="D216" s="54"/>
      <c r="E216" s="54"/>
    </row>
    <row r="217" spans="1:5">
      <c r="A217" s="54"/>
      <c r="B217" s="54"/>
      <c r="C217" s="54"/>
      <c r="D217" s="54"/>
      <c r="E217" s="54"/>
    </row>
    <row r="218" spans="1:5">
      <c r="A218" s="54"/>
      <c r="B218" s="54"/>
      <c r="C218" s="54"/>
      <c r="D218" s="54"/>
      <c r="E218" s="54"/>
    </row>
    <row r="219" spans="1:5">
      <c r="A219" s="54"/>
      <c r="B219" s="54"/>
      <c r="C219" s="54"/>
      <c r="D219" s="54"/>
      <c r="E219" s="54"/>
    </row>
    <row r="220" spans="1:5">
      <c r="A220" s="54"/>
      <c r="B220" s="54"/>
      <c r="C220" s="54"/>
      <c r="D220" s="54"/>
      <c r="E220" s="54"/>
    </row>
    <row r="221" spans="1:5">
      <c r="A221" s="54"/>
      <c r="B221" s="54"/>
      <c r="C221" s="54"/>
      <c r="D221" s="54"/>
      <c r="E221" s="54"/>
    </row>
    <row r="222" spans="1:5">
      <c r="A222" s="54"/>
      <c r="B222" s="54"/>
      <c r="C222" s="54"/>
      <c r="D222" s="54"/>
      <c r="E222" s="54"/>
    </row>
    <row r="223" spans="1:5">
      <c r="A223" s="54"/>
      <c r="B223" s="54"/>
      <c r="C223" s="54"/>
      <c r="D223" s="54"/>
      <c r="E223" s="54"/>
    </row>
    <row r="224" spans="1:5">
      <c r="A224" s="54"/>
      <c r="B224" s="54"/>
      <c r="C224" s="54"/>
      <c r="D224" s="54"/>
      <c r="E224" s="54"/>
    </row>
    <row r="225" spans="1:5">
      <c r="A225" s="54"/>
      <c r="B225" s="54"/>
      <c r="C225" s="54"/>
      <c r="D225" s="54"/>
      <c r="E225" s="54"/>
    </row>
    <row r="226" spans="1:5">
      <c r="A226" s="54"/>
      <c r="B226" s="54"/>
      <c r="C226" s="54"/>
      <c r="D226" s="54"/>
      <c r="E226" s="54"/>
    </row>
    <row r="227" spans="1:5">
      <c r="A227" s="54"/>
      <c r="B227" s="54"/>
      <c r="C227" s="54"/>
      <c r="D227" s="54"/>
      <c r="E227" s="54"/>
    </row>
    <row r="228" spans="1:5">
      <c r="A228" s="54"/>
      <c r="B228" s="54"/>
      <c r="C228" s="54"/>
      <c r="D228" s="54"/>
      <c r="E228" s="54"/>
    </row>
    <row r="229" spans="1:5">
      <c r="A229" s="54"/>
      <c r="B229" s="54"/>
      <c r="C229" s="54"/>
      <c r="D229" s="54"/>
      <c r="E229" s="54"/>
    </row>
    <row r="230" spans="1:5">
      <c r="A230" s="54"/>
      <c r="B230" s="54"/>
      <c r="C230" s="54"/>
      <c r="D230" s="54"/>
      <c r="E230" s="54"/>
    </row>
    <row r="231" spans="1:5">
      <c r="A231" s="54"/>
      <c r="B231" s="54"/>
      <c r="C231" s="54"/>
      <c r="D231" s="54"/>
      <c r="E231" s="54"/>
    </row>
    <row r="232" spans="1:5">
      <c r="A232" s="54"/>
      <c r="B232" s="54"/>
      <c r="C232" s="54"/>
      <c r="D232" s="54"/>
      <c r="E232" s="54"/>
    </row>
    <row r="233" spans="1:5">
      <c r="A233" s="54"/>
      <c r="B233" s="54"/>
      <c r="C233" s="54"/>
      <c r="D233" s="54"/>
      <c r="E233" s="54"/>
    </row>
    <row r="234" spans="1:5">
      <c r="A234" s="54"/>
      <c r="B234" s="54"/>
      <c r="C234" s="54"/>
      <c r="D234" s="54"/>
      <c r="E234" s="54"/>
    </row>
    <row r="235" spans="1:5">
      <c r="A235" s="54"/>
      <c r="B235" s="54"/>
      <c r="C235" s="54"/>
      <c r="D235" s="54"/>
      <c r="E235" s="54"/>
    </row>
    <row r="236" spans="1:5">
      <c r="A236" s="54"/>
      <c r="B236" s="54"/>
      <c r="C236" s="54"/>
      <c r="D236" s="54"/>
      <c r="E236" s="54"/>
    </row>
    <row r="237" spans="1:5">
      <c r="A237" s="54"/>
      <c r="B237" s="54"/>
      <c r="C237" s="54"/>
      <c r="D237" s="54"/>
      <c r="E237" s="54"/>
    </row>
    <row r="238" spans="1:5">
      <c r="A238" s="54"/>
      <c r="B238" s="54"/>
      <c r="C238" s="54"/>
      <c r="D238" s="54"/>
      <c r="E238" s="54"/>
    </row>
    <row r="239" spans="1:5">
      <c r="A239" s="54"/>
      <c r="B239" s="54"/>
      <c r="C239" s="54"/>
      <c r="D239" s="54"/>
      <c r="E239" s="54"/>
    </row>
    <row r="240" spans="1:5">
      <c r="A240" s="54"/>
      <c r="B240" s="54"/>
      <c r="C240" s="54"/>
      <c r="D240" s="54"/>
      <c r="E240" s="54"/>
    </row>
    <row r="241" spans="1:5">
      <c r="A241" s="54"/>
      <c r="B241" s="54"/>
      <c r="C241" s="54"/>
      <c r="D241" s="54"/>
      <c r="E241" s="54"/>
    </row>
    <row r="242" spans="1:5">
      <c r="A242" s="54"/>
      <c r="B242" s="54"/>
      <c r="C242" s="54"/>
      <c r="D242" s="54"/>
      <c r="E242" s="54"/>
    </row>
    <row r="243" spans="1:5">
      <c r="A243" s="54"/>
      <c r="B243" s="54"/>
      <c r="C243" s="54"/>
      <c r="D243" s="54"/>
      <c r="E243" s="54"/>
    </row>
    <row r="244" spans="1:5">
      <c r="A244" s="54"/>
      <c r="B244" s="54"/>
      <c r="C244" s="54"/>
      <c r="D244" s="54"/>
      <c r="E244" s="54"/>
    </row>
    <row r="245" spans="1:5">
      <c r="A245" s="54"/>
      <c r="B245" s="54"/>
      <c r="C245" s="54"/>
      <c r="D245" s="54"/>
      <c r="E245" s="54"/>
    </row>
    <row r="246" spans="1:5">
      <c r="A246" s="54"/>
      <c r="B246" s="54"/>
      <c r="C246" s="54"/>
      <c r="D246" s="54"/>
      <c r="E246" s="54"/>
    </row>
    <row r="247" spans="1:5">
      <c r="A247" s="54"/>
      <c r="B247" s="54"/>
      <c r="C247" s="54"/>
      <c r="D247" s="54"/>
      <c r="E247" s="54"/>
    </row>
    <row r="248" spans="1:5">
      <c r="A248" s="54"/>
      <c r="B248" s="54"/>
      <c r="C248" s="54"/>
      <c r="D248" s="54"/>
      <c r="E248" s="54"/>
    </row>
    <row r="249" spans="1:5">
      <c r="A249" s="54"/>
      <c r="B249" s="54"/>
      <c r="C249" s="54"/>
      <c r="D249" s="54"/>
      <c r="E249" s="54"/>
    </row>
    <row r="250" spans="1:5">
      <c r="A250" s="54"/>
      <c r="B250" s="54"/>
      <c r="C250" s="54"/>
      <c r="D250" s="54"/>
      <c r="E250" s="54"/>
    </row>
    <row r="251" spans="1:5">
      <c r="A251" s="54"/>
      <c r="B251" s="54"/>
      <c r="C251" s="54"/>
      <c r="D251" s="54"/>
      <c r="E251" s="54"/>
    </row>
    <row r="252" spans="1:5">
      <c r="A252" s="54"/>
      <c r="B252" s="54"/>
      <c r="C252" s="54"/>
      <c r="D252" s="54"/>
      <c r="E252" s="54"/>
    </row>
    <row r="253" spans="1:5">
      <c r="A253" s="54"/>
      <c r="B253" s="54"/>
      <c r="C253" s="54"/>
      <c r="D253" s="54"/>
      <c r="E253" s="54"/>
    </row>
    <row r="254" spans="1:5">
      <c r="A254" s="54"/>
      <c r="B254" s="54"/>
      <c r="C254" s="54"/>
      <c r="D254" s="54"/>
      <c r="E254" s="54"/>
    </row>
    <row r="255" spans="1:5">
      <c r="A255" s="54"/>
      <c r="B255" s="54"/>
      <c r="C255" s="54"/>
      <c r="D255" s="54"/>
      <c r="E255" s="54"/>
    </row>
    <row r="256" spans="1:5">
      <c r="A256" s="54"/>
      <c r="B256" s="54"/>
      <c r="C256" s="54"/>
      <c r="D256" s="54"/>
      <c r="E256" s="54"/>
    </row>
    <row r="257" spans="1:5">
      <c r="A257" s="54"/>
      <c r="B257" s="54"/>
      <c r="C257" s="54"/>
      <c r="D257" s="54"/>
      <c r="E257" s="54"/>
    </row>
    <row r="258" spans="1:5">
      <c r="A258" s="54"/>
      <c r="B258" s="54"/>
      <c r="C258" s="54"/>
      <c r="D258" s="54"/>
      <c r="E258" s="54"/>
    </row>
    <row r="259" spans="1:5">
      <c r="A259" s="54"/>
      <c r="B259" s="54"/>
      <c r="C259" s="54"/>
      <c r="D259" s="54"/>
      <c r="E259" s="54"/>
    </row>
    <row r="260" spans="1:5">
      <c r="A260" s="54"/>
      <c r="B260" s="54"/>
      <c r="C260" s="54"/>
      <c r="D260" s="54"/>
      <c r="E260" s="54"/>
    </row>
    <row r="261" spans="1:5">
      <c r="A261" s="54"/>
      <c r="B261" s="54"/>
      <c r="C261" s="54"/>
      <c r="D261" s="54"/>
      <c r="E261" s="54"/>
    </row>
    <row r="262" spans="1:5">
      <c r="A262" s="54"/>
      <c r="B262" s="54"/>
      <c r="C262" s="54"/>
      <c r="D262" s="54"/>
      <c r="E262" s="54"/>
    </row>
    <row r="263" spans="1:5">
      <c r="A263" s="54"/>
      <c r="B263" s="54"/>
      <c r="C263" s="54"/>
      <c r="D263" s="54"/>
      <c r="E263" s="54"/>
    </row>
    <row r="264" spans="1:5">
      <c r="A264" s="54"/>
      <c r="B264" s="54"/>
      <c r="C264" s="54"/>
      <c r="D264" s="54"/>
      <c r="E264" s="54"/>
    </row>
    <row r="265" spans="1:5">
      <c r="A265" s="54"/>
      <c r="B265" s="54"/>
      <c r="C265" s="54"/>
      <c r="D265" s="54"/>
      <c r="E265" s="54"/>
    </row>
    <row r="266" spans="1:5">
      <c r="A266" s="54"/>
      <c r="B266" s="54"/>
      <c r="C266" s="54"/>
      <c r="D266" s="54"/>
      <c r="E266" s="54"/>
    </row>
    <row r="267" spans="1:5">
      <c r="A267" s="54"/>
      <c r="B267" s="54"/>
      <c r="C267" s="54"/>
      <c r="D267" s="54"/>
      <c r="E267" s="54"/>
    </row>
    <row r="268" spans="1:5">
      <c r="A268" s="54"/>
      <c r="B268" s="54"/>
      <c r="C268" s="54"/>
      <c r="D268" s="54"/>
      <c r="E268" s="54"/>
    </row>
    <row r="269" spans="1:5">
      <c r="A269" s="54"/>
      <c r="B269" s="54"/>
      <c r="C269" s="54"/>
      <c r="D269" s="54"/>
      <c r="E269" s="54"/>
    </row>
    <row r="270" spans="1:5">
      <c r="A270" s="54"/>
      <c r="B270" s="54"/>
      <c r="C270" s="54"/>
      <c r="D270" s="54"/>
      <c r="E270" s="54"/>
    </row>
    <row r="271" spans="1:5">
      <c r="A271" s="54"/>
      <c r="B271" s="54"/>
      <c r="C271" s="54"/>
      <c r="D271" s="54"/>
      <c r="E271" s="54"/>
    </row>
    <row r="272" spans="1:5">
      <c r="A272" s="54"/>
      <c r="B272" s="54"/>
      <c r="C272" s="54"/>
      <c r="D272" s="54"/>
      <c r="E272" s="54"/>
    </row>
    <row r="273" spans="1:5">
      <c r="A273" s="54"/>
      <c r="B273" s="54"/>
      <c r="C273" s="54"/>
      <c r="D273" s="54"/>
      <c r="E273" s="54"/>
    </row>
    <row r="274" spans="1:5">
      <c r="A274" s="54"/>
      <c r="B274" s="54"/>
      <c r="C274" s="54"/>
      <c r="D274" s="54"/>
      <c r="E274" s="54"/>
    </row>
    <row r="275" spans="1:5">
      <c r="A275" s="54"/>
      <c r="B275" s="54"/>
      <c r="C275" s="54"/>
      <c r="D275" s="54"/>
      <c r="E275" s="54"/>
    </row>
    <row r="276" spans="1:5">
      <c r="A276" s="54"/>
      <c r="B276" s="54"/>
      <c r="C276" s="54"/>
      <c r="D276" s="54"/>
      <c r="E276" s="54"/>
    </row>
    <row r="277" spans="1:5">
      <c r="A277" s="54"/>
      <c r="B277" s="54"/>
      <c r="C277" s="54"/>
      <c r="D277" s="54"/>
      <c r="E277" s="54"/>
    </row>
    <row r="278" spans="1:5">
      <c r="A278" s="54"/>
      <c r="B278" s="54"/>
      <c r="C278" s="54"/>
      <c r="D278" s="54"/>
      <c r="E278" s="54"/>
    </row>
    <row r="279" spans="1:5">
      <c r="A279" s="54"/>
      <c r="B279" s="54"/>
      <c r="C279" s="54"/>
      <c r="D279" s="54"/>
      <c r="E279" s="54"/>
    </row>
    <row r="280" spans="1:5">
      <c r="A280" s="54"/>
      <c r="B280" s="54"/>
      <c r="C280" s="54"/>
      <c r="D280" s="54"/>
      <c r="E280" s="54"/>
    </row>
    <row r="281" spans="1:5">
      <c r="A281" s="54"/>
      <c r="B281" s="54"/>
      <c r="C281" s="54"/>
      <c r="D281" s="54"/>
      <c r="E281" s="54"/>
    </row>
    <row r="282" spans="1:5">
      <c r="A282" s="54"/>
      <c r="B282" s="54"/>
      <c r="C282" s="54"/>
      <c r="D282" s="54"/>
      <c r="E282" s="54"/>
    </row>
    <row r="283" spans="1:5">
      <c r="A283" s="54"/>
      <c r="B283" s="54"/>
      <c r="C283" s="54"/>
      <c r="D283" s="54"/>
      <c r="E283" s="54"/>
    </row>
    <row r="284" spans="1:5">
      <c r="A284" s="54"/>
      <c r="B284" s="54"/>
      <c r="C284" s="54"/>
      <c r="D284" s="54"/>
      <c r="E284" s="54"/>
    </row>
    <row r="285" spans="1:5">
      <c r="A285" s="54"/>
      <c r="B285" s="54"/>
      <c r="C285" s="54"/>
      <c r="D285" s="54"/>
      <c r="E285" s="54"/>
    </row>
    <row r="286" spans="1:5">
      <c r="A286" s="54"/>
      <c r="B286" s="54"/>
      <c r="C286" s="54"/>
      <c r="D286" s="54"/>
      <c r="E286" s="54"/>
    </row>
    <row r="287" spans="1:5">
      <c r="A287" s="54"/>
      <c r="B287" s="54"/>
      <c r="C287" s="54"/>
      <c r="D287" s="54"/>
      <c r="E287" s="54"/>
    </row>
    <row r="288" spans="1:5">
      <c r="A288" s="54"/>
      <c r="B288" s="54"/>
      <c r="C288" s="54"/>
      <c r="D288" s="54"/>
      <c r="E288" s="54"/>
    </row>
    <row r="289" spans="1:5">
      <c r="A289" s="54"/>
      <c r="B289" s="54"/>
      <c r="C289" s="54"/>
      <c r="D289" s="54"/>
      <c r="E289" s="54"/>
    </row>
    <row r="290" spans="1:5">
      <c r="A290" s="54"/>
      <c r="B290" s="54"/>
      <c r="C290" s="54"/>
      <c r="D290" s="54"/>
      <c r="E290" s="54"/>
    </row>
    <row r="291" spans="1:5">
      <c r="A291" s="54"/>
      <c r="B291" s="54"/>
      <c r="C291" s="54"/>
      <c r="D291" s="54"/>
      <c r="E291" s="54"/>
    </row>
    <row r="292" spans="1:5">
      <c r="A292" s="54"/>
      <c r="B292" s="54"/>
      <c r="C292" s="54"/>
      <c r="D292" s="54"/>
      <c r="E292" s="54"/>
    </row>
    <row r="293" spans="1:5">
      <c r="A293" s="54"/>
      <c r="B293" s="54"/>
      <c r="C293" s="54"/>
      <c r="D293" s="54"/>
      <c r="E293" s="54"/>
    </row>
    <row r="294" spans="1:5">
      <c r="A294" s="54"/>
      <c r="B294" s="54"/>
      <c r="C294" s="54"/>
      <c r="D294" s="54"/>
      <c r="E294" s="54"/>
    </row>
    <row r="295" spans="1:5">
      <c r="A295" s="54"/>
      <c r="B295" s="54"/>
      <c r="C295" s="54"/>
      <c r="D295" s="54"/>
      <c r="E295" s="54"/>
    </row>
    <row r="296" spans="1:5">
      <c r="A296" s="54"/>
      <c r="B296" s="54"/>
      <c r="C296" s="54"/>
      <c r="D296" s="54"/>
      <c r="E296" s="54"/>
    </row>
    <row r="297" spans="1:5">
      <c r="A297" s="54"/>
      <c r="B297" s="54"/>
      <c r="C297" s="54"/>
      <c r="D297" s="54"/>
      <c r="E297" s="54"/>
    </row>
    <row r="298" spans="1:5">
      <c r="A298" s="54"/>
      <c r="B298" s="54"/>
      <c r="C298" s="54"/>
      <c r="D298" s="54"/>
      <c r="E298" s="54"/>
    </row>
    <row r="299" spans="1:5">
      <c r="A299" s="54"/>
      <c r="B299" s="54"/>
      <c r="C299" s="54"/>
      <c r="D299" s="54"/>
      <c r="E299" s="54"/>
    </row>
  </sheetData>
  <pageMargins left="0" right="0" top="0.46" bottom="0.25" header="0.5" footer="0.3"/>
  <pageSetup scale="65" orientation="landscape" r:id="rId1"/>
  <rowBreaks count="1" manualBreakCount="1">
    <brk id="46" max="2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61"/>
  <sheetViews>
    <sheetView topLeftCell="A30" zoomScale="140" zoomScaleNormal="140" workbookViewId="0">
      <selection activeCell="C56" sqref="C56"/>
    </sheetView>
  </sheetViews>
  <sheetFormatPr defaultColWidth="7.1796875" defaultRowHeight="9"/>
  <cols>
    <col min="1" max="1" width="31.453125" style="60" customWidth="1"/>
    <col min="2" max="2" width="9.453125" style="60" bestFit="1" customWidth="1"/>
    <col min="3" max="18" width="8.453125" style="60" bestFit="1" customWidth="1"/>
    <col min="19" max="16384" width="7.1796875" style="60"/>
  </cols>
  <sheetData>
    <row r="1" spans="1:35" ht="24" customHeight="1">
      <c r="A1" s="57" t="s">
        <v>59</v>
      </c>
      <c r="B1" s="57"/>
      <c r="C1" s="57"/>
      <c r="D1" s="57"/>
      <c r="E1" s="57"/>
      <c r="F1" s="57"/>
      <c r="G1" s="57"/>
      <c r="H1" s="57"/>
      <c r="I1" s="58"/>
      <c r="J1" s="58"/>
      <c r="K1" s="58"/>
      <c r="L1" s="58"/>
      <c r="M1" s="58"/>
      <c r="N1" s="58"/>
      <c r="O1" s="58"/>
      <c r="P1" s="58"/>
      <c r="Q1" s="58"/>
      <c r="R1" s="59"/>
    </row>
    <row r="2" spans="1:35" ht="11.25" customHeight="1">
      <c r="A2" s="61" t="s">
        <v>60</v>
      </c>
      <c r="B2" s="61" t="s">
        <v>60</v>
      </c>
      <c r="C2" s="60" t="s">
        <v>60</v>
      </c>
      <c r="D2" s="60" t="s">
        <v>61</v>
      </c>
      <c r="E2" s="60" t="s">
        <v>61</v>
      </c>
      <c r="F2" s="60" t="s">
        <v>61</v>
      </c>
      <c r="G2" s="60" t="s">
        <v>61</v>
      </c>
      <c r="I2" s="62" t="s">
        <v>62</v>
      </c>
      <c r="J2" s="62"/>
      <c r="K2" s="62"/>
      <c r="L2" s="62"/>
      <c r="M2" s="62"/>
      <c r="N2" s="62"/>
      <c r="O2" s="62"/>
      <c r="P2" s="62"/>
      <c r="Q2" s="62"/>
      <c r="R2" s="62"/>
    </row>
    <row r="3" spans="1:35" ht="11.25" customHeight="1">
      <c r="A3" s="63" t="s">
        <v>63</v>
      </c>
      <c r="B3" s="64">
        <v>2012</v>
      </c>
      <c r="C3" s="64">
        <v>2013</v>
      </c>
      <c r="D3" s="64">
        <v>2014</v>
      </c>
      <c r="E3" s="64">
        <v>2015</v>
      </c>
      <c r="F3" s="64">
        <v>2016</v>
      </c>
      <c r="G3" s="64">
        <v>2017</v>
      </c>
      <c r="H3" s="64">
        <v>2018</v>
      </c>
      <c r="I3" s="64">
        <v>2019</v>
      </c>
      <c r="J3" s="64">
        <v>2020</v>
      </c>
      <c r="K3" s="64">
        <v>2021</v>
      </c>
      <c r="L3" s="64">
        <v>2022</v>
      </c>
      <c r="M3" s="64">
        <v>2023</v>
      </c>
      <c r="N3" s="64">
        <v>2024</v>
      </c>
      <c r="O3" s="64">
        <v>2025</v>
      </c>
      <c r="P3" s="64">
        <v>2026</v>
      </c>
      <c r="Q3" s="64">
        <v>2027</v>
      </c>
      <c r="R3" s="64">
        <v>2028</v>
      </c>
    </row>
    <row r="4" spans="1:35" ht="12.75" customHeight="1">
      <c r="A4" s="60" t="s">
        <v>25</v>
      </c>
      <c r="B4" s="65">
        <v>2791.1</v>
      </c>
      <c r="C4" s="65">
        <v>2875</v>
      </c>
      <c r="D4" s="65">
        <v>3025.4</v>
      </c>
      <c r="E4" s="65">
        <v>3199.6</v>
      </c>
      <c r="F4" s="65">
        <v>3347.4</v>
      </c>
      <c r="G4" s="65">
        <v>3487.3</v>
      </c>
      <c r="H4" s="65">
        <v>3649.4</v>
      </c>
      <c r="I4" s="65">
        <v>3814.6</v>
      </c>
      <c r="J4" s="65">
        <v>4014.2</v>
      </c>
      <c r="K4" s="65">
        <v>4217.1000000000004</v>
      </c>
      <c r="L4" s="65">
        <v>4456</v>
      </c>
      <c r="M4" s="65">
        <v>4706.3</v>
      </c>
      <c r="N4" s="65">
        <v>4966.1000000000004</v>
      </c>
      <c r="O4" s="65">
        <v>5247.4</v>
      </c>
      <c r="P4" s="65">
        <v>5549.5</v>
      </c>
      <c r="Q4" s="65">
        <v>5862.9</v>
      </c>
      <c r="R4" s="65">
        <v>6192.5</v>
      </c>
    </row>
    <row r="5" spans="1:35" ht="9.75" customHeight="1">
      <c r="A5" s="66" t="s">
        <v>64</v>
      </c>
      <c r="B5" s="67">
        <v>2637.7</v>
      </c>
      <c r="C5" s="67">
        <v>2720.9</v>
      </c>
      <c r="D5" s="67">
        <v>2875.6</v>
      </c>
      <c r="E5" s="67">
        <v>3045.5</v>
      </c>
      <c r="F5" s="67">
        <v>3190.7</v>
      </c>
      <c r="G5" s="67">
        <v>3319</v>
      </c>
      <c r="H5" s="67">
        <v>3475</v>
      </c>
      <c r="I5" s="67">
        <v>3633.2</v>
      </c>
      <c r="J5" s="67">
        <v>3823.6</v>
      </c>
      <c r="K5" s="67">
        <v>4016.6</v>
      </c>
      <c r="L5" s="67">
        <v>4243.3</v>
      </c>
      <c r="M5" s="67">
        <v>4482.5</v>
      </c>
      <c r="N5" s="67">
        <v>4730.6000000000004</v>
      </c>
      <c r="O5" s="67">
        <v>4999.5</v>
      </c>
      <c r="P5" s="67">
        <v>5288.5</v>
      </c>
      <c r="Q5" s="67">
        <v>5588.1</v>
      </c>
      <c r="R5" s="67">
        <v>5903.3</v>
      </c>
    </row>
    <row r="6" spans="1:35" ht="9.75" customHeight="1">
      <c r="A6" s="68" t="s">
        <v>65</v>
      </c>
      <c r="B6" s="67">
        <v>2361.1</v>
      </c>
      <c r="C6" s="67">
        <v>2431.1999999999998</v>
      </c>
      <c r="D6" s="67">
        <v>2556</v>
      </c>
      <c r="E6" s="67">
        <v>2710.2</v>
      </c>
      <c r="F6" s="67">
        <v>2838.3</v>
      </c>
      <c r="G6" s="67">
        <v>2954.5</v>
      </c>
      <c r="H6" s="67">
        <v>3075.5</v>
      </c>
      <c r="I6" s="67">
        <v>3219.3</v>
      </c>
      <c r="J6" s="67">
        <v>3377.5</v>
      </c>
      <c r="K6" s="67">
        <v>3562.6</v>
      </c>
      <c r="L6" s="67">
        <v>3765.5</v>
      </c>
      <c r="M6" s="67">
        <v>3979.6</v>
      </c>
      <c r="N6" s="67">
        <v>4202.1000000000004</v>
      </c>
      <c r="O6" s="67">
        <v>4443.3999999999996</v>
      </c>
      <c r="P6" s="67">
        <v>4703</v>
      </c>
      <c r="Q6" s="67">
        <v>4971.8</v>
      </c>
      <c r="R6" s="67">
        <v>5255.5</v>
      </c>
    </row>
    <row r="7" spans="1:35" ht="9.75" customHeight="1">
      <c r="A7" s="69" t="s">
        <v>4</v>
      </c>
      <c r="B7" s="67">
        <v>902.5</v>
      </c>
      <c r="C7" s="67">
        <v>937.6</v>
      </c>
      <c r="D7" s="67">
        <v>978.2</v>
      </c>
      <c r="E7" s="67">
        <v>1034.5999999999999</v>
      </c>
      <c r="F7" s="67">
        <v>1089.5</v>
      </c>
      <c r="G7" s="67">
        <v>1140.5999999999999</v>
      </c>
      <c r="H7" s="67">
        <v>1191.8</v>
      </c>
      <c r="I7" s="67">
        <v>1253</v>
      </c>
      <c r="J7" s="67">
        <v>1316.4</v>
      </c>
      <c r="K7" s="67">
        <v>1392</v>
      </c>
      <c r="L7" s="67">
        <v>1475.5</v>
      </c>
      <c r="M7" s="67">
        <v>1563</v>
      </c>
      <c r="N7" s="67">
        <v>1653.1</v>
      </c>
      <c r="O7" s="67">
        <v>1752.2</v>
      </c>
      <c r="P7" s="67">
        <v>1862.4</v>
      </c>
      <c r="Q7" s="67">
        <v>1971.5</v>
      </c>
      <c r="R7" s="67">
        <v>2088</v>
      </c>
    </row>
    <row r="8" spans="1:35" ht="9.75" customHeight="1">
      <c r="A8" s="69" t="s">
        <v>66</v>
      </c>
      <c r="B8" s="67">
        <v>743.2</v>
      </c>
      <c r="C8" s="67">
        <v>759.6</v>
      </c>
      <c r="D8" s="67">
        <v>792.5</v>
      </c>
      <c r="E8" s="67">
        <v>837.9</v>
      </c>
      <c r="F8" s="67">
        <v>883.2</v>
      </c>
      <c r="G8" s="67">
        <v>924</v>
      </c>
      <c r="H8" s="67">
        <v>965.1</v>
      </c>
      <c r="I8" s="67">
        <v>1008.6</v>
      </c>
      <c r="J8" s="67">
        <v>1057.5999999999999</v>
      </c>
      <c r="K8" s="67">
        <v>1113.5</v>
      </c>
      <c r="L8" s="67">
        <v>1172.8</v>
      </c>
      <c r="M8" s="67">
        <v>1235.9000000000001</v>
      </c>
      <c r="N8" s="67">
        <v>1302.3</v>
      </c>
      <c r="O8" s="67">
        <v>1374.5</v>
      </c>
      <c r="P8" s="67">
        <v>1448.2</v>
      </c>
      <c r="Q8" s="67">
        <v>1526.6</v>
      </c>
      <c r="R8" s="67">
        <v>1608.6</v>
      </c>
      <c r="T8" s="70"/>
      <c r="U8" s="70"/>
      <c r="V8" s="70"/>
      <c r="W8" s="70"/>
      <c r="X8" s="70"/>
      <c r="Y8" s="70"/>
      <c r="Z8" s="70"/>
      <c r="AA8" s="70"/>
      <c r="AB8" s="70"/>
      <c r="AC8" s="70"/>
      <c r="AD8" s="70"/>
      <c r="AE8" s="70"/>
      <c r="AF8" s="70"/>
      <c r="AG8" s="70"/>
      <c r="AH8" s="70"/>
      <c r="AI8" s="70"/>
    </row>
    <row r="9" spans="1:35" ht="9.75" customHeight="1">
      <c r="A9" s="71" t="s">
        <v>5</v>
      </c>
      <c r="B9" s="67">
        <v>557.1</v>
      </c>
      <c r="C9" s="67">
        <v>569.6</v>
      </c>
      <c r="D9" s="67">
        <v>595.70000000000005</v>
      </c>
      <c r="E9" s="67">
        <v>631.20000000000005</v>
      </c>
      <c r="F9" s="67">
        <v>665.6</v>
      </c>
      <c r="G9" s="67">
        <v>696.9</v>
      </c>
      <c r="H9" s="67">
        <v>725.6</v>
      </c>
      <c r="I9" s="67">
        <v>757.4</v>
      </c>
      <c r="J9" s="67">
        <v>794.4</v>
      </c>
      <c r="K9" s="67">
        <v>837.5</v>
      </c>
      <c r="L9" s="67">
        <v>883.5</v>
      </c>
      <c r="M9" s="67">
        <v>932.4</v>
      </c>
      <c r="N9" s="67">
        <v>984</v>
      </c>
      <c r="O9" s="67">
        <v>1040.9000000000001</v>
      </c>
      <c r="P9" s="67">
        <v>1098.4000000000001</v>
      </c>
      <c r="Q9" s="67">
        <v>1160</v>
      </c>
      <c r="R9" s="67">
        <v>1224.4000000000001</v>
      </c>
    </row>
    <row r="10" spans="1:35" ht="9.75" customHeight="1">
      <c r="A10" s="71" t="s">
        <v>6</v>
      </c>
      <c r="B10" s="67">
        <v>76.400000000000006</v>
      </c>
      <c r="C10" s="67">
        <v>78.7</v>
      </c>
      <c r="D10" s="67">
        <v>83</v>
      </c>
      <c r="E10" s="67">
        <v>87.8</v>
      </c>
      <c r="F10" s="67">
        <v>92.7</v>
      </c>
      <c r="G10" s="67">
        <v>97.5</v>
      </c>
      <c r="H10" s="67">
        <v>103.9</v>
      </c>
      <c r="I10" s="67">
        <v>109.3</v>
      </c>
      <c r="J10" s="67">
        <v>114.8</v>
      </c>
      <c r="K10" s="67">
        <v>121.1</v>
      </c>
      <c r="L10" s="67">
        <v>127.8</v>
      </c>
      <c r="M10" s="67">
        <v>134.80000000000001</v>
      </c>
      <c r="N10" s="67">
        <v>142.19999999999999</v>
      </c>
      <c r="O10" s="67">
        <v>149.9</v>
      </c>
      <c r="P10" s="67">
        <v>158</v>
      </c>
      <c r="Q10" s="67">
        <v>166.6</v>
      </c>
      <c r="R10" s="67">
        <v>175.5</v>
      </c>
    </row>
    <row r="11" spans="1:35" ht="9.75" customHeight="1">
      <c r="A11" s="71" t="s">
        <v>7</v>
      </c>
      <c r="B11" s="67">
        <v>109.7</v>
      </c>
      <c r="C11" s="67">
        <v>111.2</v>
      </c>
      <c r="D11" s="67">
        <v>113.8</v>
      </c>
      <c r="E11" s="67">
        <v>118.8</v>
      </c>
      <c r="F11" s="67">
        <v>124.9</v>
      </c>
      <c r="G11" s="67">
        <v>129.6</v>
      </c>
      <c r="H11" s="67">
        <v>135.6</v>
      </c>
      <c r="I11" s="67">
        <v>141.9</v>
      </c>
      <c r="J11" s="67">
        <v>148.30000000000001</v>
      </c>
      <c r="K11" s="67">
        <v>154.9</v>
      </c>
      <c r="L11" s="67">
        <v>161.5</v>
      </c>
      <c r="M11" s="67">
        <v>168.7</v>
      </c>
      <c r="N11" s="67">
        <v>176.1</v>
      </c>
      <c r="O11" s="67">
        <v>183.8</v>
      </c>
      <c r="P11" s="67">
        <v>191.8</v>
      </c>
      <c r="Q11" s="67">
        <v>200.1</v>
      </c>
      <c r="R11" s="67">
        <v>208.7</v>
      </c>
    </row>
    <row r="12" spans="1:35" ht="9.75" customHeight="1">
      <c r="A12" s="72" t="s">
        <v>8</v>
      </c>
      <c r="B12" s="67">
        <v>139.1</v>
      </c>
      <c r="C12" s="67">
        <v>144.30000000000001</v>
      </c>
      <c r="D12" s="67">
        <v>151.5</v>
      </c>
      <c r="E12" s="67">
        <v>164.5</v>
      </c>
      <c r="F12" s="67">
        <v>173.6</v>
      </c>
      <c r="G12" s="67">
        <v>183.2</v>
      </c>
      <c r="H12" s="67">
        <v>191.6</v>
      </c>
      <c r="I12" s="67">
        <v>200</v>
      </c>
      <c r="J12" s="67">
        <v>210.3</v>
      </c>
      <c r="K12" s="67">
        <v>222.2</v>
      </c>
      <c r="L12" s="67">
        <v>235.4</v>
      </c>
      <c r="M12" s="67">
        <v>248.9</v>
      </c>
      <c r="N12" s="67">
        <v>262.2</v>
      </c>
      <c r="O12" s="67">
        <v>277.10000000000002</v>
      </c>
      <c r="P12" s="67">
        <v>292.89999999999998</v>
      </c>
      <c r="Q12" s="67">
        <v>309.7</v>
      </c>
      <c r="R12" s="67">
        <v>327.10000000000002</v>
      </c>
    </row>
    <row r="13" spans="1:35" ht="9.75" customHeight="1">
      <c r="A13" s="72" t="s">
        <v>9</v>
      </c>
      <c r="B13" s="67">
        <v>78.3</v>
      </c>
      <c r="C13" s="67">
        <v>81.400000000000006</v>
      </c>
      <c r="D13" s="67">
        <v>84.8</v>
      </c>
      <c r="E13" s="67">
        <v>89.2</v>
      </c>
      <c r="F13" s="67">
        <v>93</v>
      </c>
      <c r="G13" s="67">
        <v>97.1</v>
      </c>
      <c r="H13" s="67">
        <v>102.2</v>
      </c>
      <c r="I13" s="67">
        <v>108.9</v>
      </c>
      <c r="J13" s="67">
        <v>116.2</v>
      </c>
      <c r="K13" s="67">
        <v>124.5</v>
      </c>
      <c r="L13" s="67">
        <v>133.4</v>
      </c>
      <c r="M13" s="67">
        <v>143</v>
      </c>
      <c r="N13" s="67">
        <v>152.9</v>
      </c>
      <c r="O13" s="67">
        <v>163.69999999999999</v>
      </c>
      <c r="P13" s="67">
        <v>175.2</v>
      </c>
      <c r="Q13" s="67">
        <v>187.8</v>
      </c>
      <c r="R13" s="67">
        <v>201.3</v>
      </c>
    </row>
    <row r="14" spans="1:35" ht="19.5" customHeight="1">
      <c r="A14" s="73" t="s">
        <v>67</v>
      </c>
      <c r="B14" s="67">
        <v>147.4</v>
      </c>
      <c r="C14" s="67">
        <v>149</v>
      </c>
      <c r="D14" s="67">
        <v>152.4</v>
      </c>
      <c r="E14" s="67">
        <v>158.1</v>
      </c>
      <c r="F14" s="67">
        <v>163</v>
      </c>
      <c r="G14" s="67">
        <v>166.2</v>
      </c>
      <c r="H14" s="67">
        <v>168.5</v>
      </c>
      <c r="I14" s="67">
        <v>175.1</v>
      </c>
      <c r="J14" s="67">
        <v>183.2</v>
      </c>
      <c r="K14" s="67">
        <v>191.8</v>
      </c>
      <c r="L14" s="67">
        <v>201</v>
      </c>
      <c r="M14" s="67">
        <v>210.7</v>
      </c>
      <c r="N14" s="67">
        <v>220.2</v>
      </c>
      <c r="O14" s="67">
        <v>230.2</v>
      </c>
      <c r="P14" s="67">
        <v>241.1</v>
      </c>
      <c r="Q14" s="67">
        <v>253</v>
      </c>
      <c r="R14" s="67">
        <v>266.2</v>
      </c>
    </row>
    <row r="15" spans="1:35" ht="9.75" customHeight="1">
      <c r="A15" s="69" t="s">
        <v>68</v>
      </c>
      <c r="B15" s="67">
        <v>350.6</v>
      </c>
      <c r="C15" s="67">
        <v>359.3</v>
      </c>
      <c r="D15" s="67">
        <v>396.6</v>
      </c>
      <c r="E15" s="67">
        <v>425.9</v>
      </c>
      <c r="F15" s="67">
        <v>436</v>
      </c>
      <c r="G15" s="67">
        <v>443.2</v>
      </c>
      <c r="H15" s="67">
        <v>456.3</v>
      </c>
      <c r="I15" s="67">
        <v>473.6</v>
      </c>
      <c r="J15" s="67">
        <v>493.9</v>
      </c>
      <c r="K15" s="67">
        <v>518.6</v>
      </c>
      <c r="L15" s="67">
        <v>547.4</v>
      </c>
      <c r="M15" s="67">
        <v>578.20000000000005</v>
      </c>
      <c r="N15" s="67">
        <v>611.29999999999995</v>
      </c>
      <c r="O15" s="67">
        <v>645.70000000000005</v>
      </c>
      <c r="P15" s="67">
        <v>683.3</v>
      </c>
      <c r="Q15" s="67">
        <v>723.2</v>
      </c>
      <c r="R15" s="67">
        <v>764.4</v>
      </c>
    </row>
    <row r="16" spans="1:35" ht="9.75" customHeight="1">
      <c r="A16" s="71" t="s">
        <v>17</v>
      </c>
      <c r="B16" s="67">
        <v>253</v>
      </c>
      <c r="C16" s="67">
        <v>258.2</v>
      </c>
      <c r="D16" s="67">
        <v>292.39999999999998</v>
      </c>
      <c r="E16" s="67">
        <v>317.10000000000002</v>
      </c>
      <c r="F16" s="67">
        <v>322.3</v>
      </c>
      <c r="G16" s="67">
        <v>326.8</v>
      </c>
      <c r="H16" s="67">
        <v>335</v>
      </c>
      <c r="I16" s="67">
        <v>345.7</v>
      </c>
      <c r="J16" s="67">
        <v>358.7</v>
      </c>
      <c r="K16" s="67">
        <v>375.8</v>
      </c>
      <c r="L16" s="67">
        <v>397.3</v>
      </c>
      <c r="M16" s="67">
        <v>420.3</v>
      </c>
      <c r="N16" s="67">
        <v>445.1</v>
      </c>
      <c r="O16" s="67">
        <v>470.8</v>
      </c>
      <c r="P16" s="67">
        <v>499.2</v>
      </c>
      <c r="Q16" s="67">
        <v>529.20000000000005</v>
      </c>
      <c r="R16" s="67">
        <v>560.29999999999995</v>
      </c>
    </row>
    <row r="17" spans="1:35" ht="9.75" customHeight="1">
      <c r="A17" s="71" t="s">
        <v>69</v>
      </c>
      <c r="B17" s="67">
        <v>97.6</v>
      </c>
      <c r="C17" s="67">
        <v>101.1</v>
      </c>
      <c r="D17" s="67">
        <v>104.2</v>
      </c>
      <c r="E17" s="67">
        <v>108.8</v>
      </c>
      <c r="F17" s="67">
        <v>113.6</v>
      </c>
      <c r="G17" s="67">
        <v>116.5</v>
      </c>
      <c r="H17" s="67">
        <v>121.2</v>
      </c>
      <c r="I17" s="67">
        <v>127.9</v>
      </c>
      <c r="J17" s="67">
        <v>135.19999999999999</v>
      </c>
      <c r="K17" s="67">
        <v>142.80000000000001</v>
      </c>
      <c r="L17" s="67">
        <v>150.1</v>
      </c>
      <c r="M17" s="67">
        <v>157.80000000000001</v>
      </c>
      <c r="N17" s="67">
        <v>166.2</v>
      </c>
      <c r="O17" s="67">
        <v>174.9</v>
      </c>
      <c r="P17" s="67">
        <v>184</v>
      </c>
      <c r="Q17" s="67">
        <v>194</v>
      </c>
      <c r="R17" s="67">
        <v>204.1</v>
      </c>
    </row>
    <row r="18" spans="1:35" ht="9.75" customHeight="1">
      <c r="A18" s="74" t="s">
        <v>11</v>
      </c>
      <c r="B18" s="67">
        <v>43.7</v>
      </c>
      <c r="C18" s="67">
        <v>45.1</v>
      </c>
      <c r="D18" s="67">
        <v>46.7</v>
      </c>
      <c r="E18" s="67">
        <v>48.6</v>
      </c>
      <c r="F18" s="67">
        <v>51</v>
      </c>
      <c r="G18" s="67">
        <v>52.4</v>
      </c>
      <c r="H18" s="67">
        <v>54.9</v>
      </c>
      <c r="I18" s="67">
        <v>58.3</v>
      </c>
      <c r="J18" s="67">
        <v>62</v>
      </c>
      <c r="K18" s="67">
        <v>66</v>
      </c>
      <c r="L18" s="67">
        <v>69.900000000000006</v>
      </c>
      <c r="M18" s="67">
        <v>74</v>
      </c>
      <c r="N18" s="67">
        <v>78.400000000000006</v>
      </c>
      <c r="O18" s="67">
        <v>83</v>
      </c>
      <c r="P18" s="67">
        <v>87.8</v>
      </c>
      <c r="Q18" s="67">
        <v>93.2</v>
      </c>
      <c r="R18" s="67">
        <v>98.4</v>
      </c>
    </row>
    <row r="19" spans="1:35" ht="9.75" customHeight="1">
      <c r="A19" s="74" t="s">
        <v>16</v>
      </c>
      <c r="B19" s="67">
        <v>53.9</v>
      </c>
      <c r="C19" s="67">
        <v>56</v>
      </c>
      <c r="D19" s="67">
        <v>57.5</v>
      </c>
      <c r="E19" s="67">
        <v>60.2</v>
      </c>
      <c r="F19" s="67">
        <v>62.7</v>
      </c>
      <c r="G19" s="67">
        <v>64.099999999999994</v>
      </c>
      <c r="H19" s="67">
        <v>66.400000000000006</v>
      </c>
      <c r="I19" s="67">
        <v>69.5</v>
      </c>
      <c r="J19" s="67">
        <v>73.2</v>
      </c>
      <c r="K19" s="67">
        <v>76.7</v>
      </c>
      <c r="L19" s="67">
        <v>80.2</v>
      </c>
      <c r="M19" s="67">
        <v>83.8</v>
      </c>
      <c r="N19" s="67">
        <v>87.8</v>
      </c>
      <c r="O19" s="67">
        <v>91.9</v>
      </c>
      <c r="P19" s="67">
        <v>96.2</v>
      </c>
      <c r="Q19" s="67">
        <v>100.8</v>
      </c>
      <c r="R19" s="67">
        <v>105.7</v>
      </c>
    </row>
    <row r="20" spans="1:35" ht="9.75" customHeight="1">
      <c r="A20" s="75" t="s">
        <v>12</v>
      </c>
      <c r="B20" s="67">
        <v>34.200000000000003</v>
      </c>
      <c r="C20" s="67">
        <v>37.5</v>
      </c>
      <c r="D20" s="67">
        <v>42.3</v>
      </c>
      <c r="E20" s="67">
        <v>42.8</v>
      </c>
      <c r="F20" s="67">
        <v>44.9</v>
      </c>
      <c r="G20" s="67">
        <v>44.8</v>
      </c>
      <c r="H20" s="67">
        <v>47.5</v>
      </c>
      <c r="I20" s="67">
        <v>49.8</v>
      </c>
      <c r="J20" s="67">
        <v>52</v>
      </c>
      <c r="K20" s="67">
        <v>54.9</v>
      </c>
      <c r="L20" s="67">
        <v>58.4</v>
      </c>
      <c r="M20" s="67">
        <v>62.1</v>
      </c>
      <c r="N20" s="67">
        <v>65.7</v>
      </c>
      <c r="O20" s="67">
        <v>69.599999999999994</v>
      </c>
      <c r="P20" s="67">
        <v>74.3</v>
      </c>
      <c r="Q20" s="67">
        <v>79.2</v>
      </c>
      <c r="R20" s="67">
        <v>84.2</v>
      </c>
    </row>
    <row r="21" spans="1:35" ht="9.75" customHeight="1">
      <c r="A21" s="75" t="s">
        <v>70</v>
      </c>
      <c r="B21" s="67">
        <v>165.2</v>
      </c>
      <c r="C21" s="67">
        <v>173.3</v>
      </c>
      <c r="D21" s="67">
        <v>195.3</v>
      </c>
      <c r="E21" s="67">
        <v>206.7</v>
      </c>
      <c r="F21" s="67">
        <v>218.8</v>
      </c>
      <c r="G21" s="67">
        <v>228.3</v>
      </c>
      <c r="H21" s="67">
        <v>258.5</v>
      </c>
      <c r="I21" s="67">
        <v>267.8</v>
      </c>
      <c r="J21" s="67">
        <v>295.2</v>
      </c>
      <c r="K21" s="67">
        <v>297.3</v>
      </c>
      <c r="L21" s="67">
        <v>314</v>
      </c>
      <c r="M21" s="67">
        <v>331.7</v>
      </c>
      <c r="N21" s="67">
        <v>350</v>
      </c>
      <c r="O21" s="67">
        <v>369.3</v>
      </c>
      <c r="P21" s="67">
        <v>389.5</v>
      </c>
      <c r="Q21" s="67">
        <v>410.8</v>
      </c>
      <c r="R21" s="67">
        <v>432.9</v>
      </c>
    </row>
    <row r="22" spans="1:35" ht="9.75" customHeight="1">
      <c r="A22" s="68" t="s">
        <v>13</v>
      </c>
      <c r="B22" s="67">
        <v>77.2</v>
      </c>
      <c r="C22" s="67">
        <v>79</v>
      </c>
      <c r="D22" s="67">
        <v>82</v>
      </c>
      <c r="E22" s="67">
        <v>85.8</v>
      </c>
      <c r="F22" s="67">
        <v>88.7</v>
      </c>
      <c r="G22" s="67">
        <v>91.4</v>
      </c>
      <c r="H22" s="67">
        <v>93.5</v>
      </c>
      <c r="I22" s="67">
        <v>96.4</v>
      </c>
      <c r="J22" s="67">
        <v>98.9</v>
      </c>
      <c r="K22" s="67">
        <v>101.8</v>
      </c>
      <c r="L22" s="67">
        <v>105.4</v>
      </c>
      <c r="M22" s="67">
        <v>109.1</v>
      </c>
      <c r="N22" s="67">
        <v>112.8</v>
      </c>
      <c r="O22" s="67">
        <v>117.1</v>
      </c>
      <c r="P22" s="67">
        <v>121.8</v>
      </c>
      <c r="Q22" s="67">
        <v>126.2</v>
      </c>
      <c r="R22" s="67">
        <v>130.6</v>
      </c>
    </row>
    <row r="23" spans="1:35" ht="9.75" customHeight="1">
      <c r="A23" s="66" t="s">
        <v>71</v>
      </c>
      <c r="B23" s="67">
        <v>153.30000000000001</v>
      </c>
      <c r="C23" s="67">
        <v>154.1</v>
      </c>
      <c r="D23" s="67">
        <v>149.80000000000001</v>
      </c>
      <c r="E23" s="67">
        <v>154.1</v>
      </c>
      <c r="F23" s="67">
        <v>156.69999999999999</v>
      </c>
      <c r="G23" s="67">
        <v>168.3</v>
      </c>
      <c r="H23" s="67">
        <v>174.4</v>
      </c>
      <c r="I23" s="67">
        <v>181.4</v>
      </c>
      <c r="J23" s="67">
        <v>190.7</v>
      </c>
      <c r="K23" s="67">
        <v>200.6</v>
      </c>
      <c r="L23" s="67">
        <v>212.7</v>
      </c>
      <c r="M23" s="67">
        <v>223.7</v>
      </c>
      <c r="N23" s="67">
        <v>235.5</v>
      </c>
      <c r="O23" s="67">
        <v>247.9</v>
      </c>
      <c r="P23" s="67">
        <v>261</v>
      </c>
      <c r="Q23" s="67">
        <v>274.8</v>
      </c>
      <c r="R23" s="67">
        <v>289.2</v>
      </c>
    </row>
    <row r="24" spans="1:35" ht="9.75" customHeight="1">
      <c r="A24" s="68" t="s">
        <v>72</v>
      </c>
      <c r="B24" s="67">
        <v>48.4</v>
      </c>
      <c r="C24" s="67">
        <v>46.7</v>
      </c>
      <c r="D24" s="67">
        <v>46</v>
      </c>
      <c r="E24" s="67">
        <v>46.4</v>
      </c>
      <c r="F24" s="67">
        <v>47.4</v>
      </c>
      <c r="G24" s="67">
        <v>50.1</v>
      </c>
      <c r="H24" s="67">
        <v>52.6</v>
      </c>
      <c r="I24" s="67">
        <v>55.5</v>
      </c>
      <c r="J24" s="67">
        <v>58.6</v>
      </c>
      <c r="K24" s="67">
        <v>61.7</v>
      </c>
      <c r="L24" s="67">
        <v>66.400000000000006</v>
      </c>
      <c r="M24" s="67">
        <v>69.7</v>
      </c>
      <c r="N24" s="67">
        <v>73.099999999999994</v>
      </c>
      <c r="O24" s="67">
        <v>76.8</v>
      </c>
      <c r="P24" s="67">
        <v>80.599999999999994</v>
      </c>
      <c r="Q24" s="67">
        <v>84.7</v>
      </c>
      <c r="R24" s="67">
        <v>89</v>
      </c>
    </row>
    <row r="25" spans="1:35" ht="9.75" customHeight="1">
      <c r="A25" s="68" t="s">
        <v>73</v>
      </c>
      <c r="B25" s="67">
        <v>105</v>
      </c>
      <c r="C25" s="67">
        <v>107.5</v>
      </c>
      <c r="D25" s="67">
        <v>103.7</v>
      </c>
      <c r="E25" s="67">
        <v>107.7</v>
      </c>
      <c r="F25" s="67">
        <v>109.3</v>
      </c>
      <c r="G25" s="67">
        <v>118.2</v>
      </c>
      <c r="H25" s="67">
        <v>121.8</v>
      </c>
      <c r="I25" s="67">
        <v>125.8</v>
      </c>
      <c r="J25" s="67">
        <v>132</v>
      </c>
      <c r="K25" s="67">
        <v>138.80000000000001</v>
      </c>
      <c r="L25" s="67">
        <v>146.30000000000001</v>
      </c>
      <c r="M25" s="67">
        <v>154</v>
      </c>
      <c r="N25" s="67">
        <v>162.30000000000001</v>
      </c>
      <c r="O25" s="67">
        <v>171.1</v>
      </c>
      <c r="P25" s="67">
        <v>180.4</v>
      </c>
      <c r="Q25" s="67">
        <v>190.1</v>
      </c>
      <c r="R25" s="67">
        <v>200.2</v>
      </c>
      <c r="T25" s="76"/>
      <c r="U25" s="76"/>
      <c r="V25" s="76"/>
      <c r="W25" s="76"/>
      <c r="X25" s="76"/>
      <c r="Y25" s="76"/>
      <c r="Z25" s="76"/>
      <c r="AA25" s="76"/>
      <c r="AB25" s="76"/>
      <c r="AC25" s="76"/>
      <c r="AD25" s="76"/>
      <c r="AE25" s="76"/>
      <c r="AF25" s="76"/>
      <c r="AG25" s="76"/>
      <c r="AH25" s="76"/>
      <c r="AI25" s="76"/>
    </row>
    <row r="26" spans="1:35" ht="29">
      <c r="A26" s="77" t="s">
        <v>74</v>
      </c>
      <c r="B26" s="78" t="s">
        <v>75</v>
      </c>
      <c r="C26" s="79">
        <v>0.03</v>
      </c>
      <c r="D26" s="79">
        <v>5.1999999999999998E-2</v>
      </c>
      <c r="E26" s="79">
        <v>5.8000000000000003E-2</v>
      </c>
      <c r="F26" s="79">
        <v>4.5999999999999999E-2</v>
      </c>
      <c r="G26" s="79">
        <v>4.2000000000000003E-2</v>
      </c>
      <c r="H26" s="79">
        <v>4.5999999999999999E-2</v>
      </c>
      <c r="I26" s="79">
        <v>4.4999999999999998E-2</v>
      </c>
      <c r="J26" s="79">
        <v>5.1999999999999998E-2</v>
      </c>
      <c r="K26" s="79">
        <v>5.0999999999999997E-2</v>
      </c>
      <c r="L26" s="79">
        <v>5.7000000000000002E-2</v>
      </c>
      <c r="M26" s="79">
        <v>5.6000000000000001E-2</v>
      </c>
      <c r="N26" s="79">
        <v>5.5E-2</v>
      </c>
      <c r="O26" s="79">
        <v>5.7000000000000002E-2</v>
      </c>
      <c r="P26" s="79">
        <v>5.8000000000000003E-2</v>
      </c>
      <c r="Q26" s="79">
        <v>5.6000000000000001E-2</v>
      </c>
      <c r="R26" s="79">
        <v>5.6000000000000001E-2</v>
      </c>
      <c r="T26" s="80"/>
      <c r="U26" s="80"/>
      <c r="V26" s="80"/>
      <c r="W26" s="80"/>
      <c r="X26" s="80"/>
      <c r="Y26" s="80"/>
      <c r="Z26" s="80"/>
      <c r="AA26" s="80"/>
      <c r="AB26" s="80"/>
      <c r="AC26" s="80"/>
      <c r="AD26" s="80"/>
      <c r="AE26" s="80"/>
      <c r="AF26" s="80"/>
      <c r="AG26" s="80"/>
      <c r="AH26" s="80"/>
      <c r="AI26" s="80"/>
    </row>
    <row r="27" spans="1:35" ht="9.75" customHeight="1">
      <c r="A27" s="66" t="s">
        <v>76</v>
      </c>
      <c r="B27" s="78" t="s">
        <v>75</v>
      </c>
      <c r="C27" s="81">
        <v>3.2</v>
      </c>
      <c r="D27" s="81">
        <v>5.7</v>
      </c>
      <c r="E27" s="81">
        <v>5.9</v>
      </c>
      <c r="F27" s="81">
        <v>4.8</v>
      </c>
      <c r="G27" s="81">
        <v>4</v>
      </c>
      <c r="H27" s="81">
        <v>4.7</v>
      </c>
      <c r="I27" s="81">
        <v>4.5999999999999996</v>
      </c>
      <c r="J27" s="81">
        <v>5.2</v>
      </c>
      <c r="K27" s="81">
        <v>5</v>
      </c>
      <c r="L27" s="81">
        <v>5.6</v>
      </c>
      <c r="M27" s="81">
        <v>5.6</v>
      </c>
      <c r="N27" s="81">
        <v>5.5</v>
      </c>
      <c r="O27" s="81">
        <v>5.7</v>
      </c>
      <c r="P27" s="81">
        <v>5.8</v>
      </c>
      <c r="Q27" s="81">
        <v>5.7</v>
      </c>
      <c r="R27" s="81">
        <v>5.6</v>
      </c>
    </row>
    <row r="28" spans="1:35" ht="9.75" customHeight="1">
      <c r="A28" s="68" t="s">
        <v>65</v>
      </c>
      <c r="B28" s="78" t="s">
        <v>75</v>
      </c>
      <c r="C28" s="81">
        <v>3</v>
      </c>
      <c r="D28" s="81">
        <v>5.0999999999999996</v>
      </c>
      <c r="E28" s="81">
        <v>6</v>
      </c>
      <c r="F28" s="81">
        <v>4.7</v>
      </c>
      <c r="G28" s="81">
        <v>4.0999999999999996</v>
      </c>
      <c r="H28" s="81">
        <v>4.0999999999999996</v>
      </c>
      <c r="I28" s="81">
        <v>4.7</v>
      </c>
      <c r="J28" s="81">
        <v>4.9000000000000004</v>
      </c>
      <c r="K28" s="81">
        <v>5.5</v>
      </c>
      <c r="L28" s="81">
        <v>5.7</v>
      </c>
      <c r="M28" s="81">
        <v>5.7</v>
      </c>
      <c r="N28" s="81">
        <v>5.6</v>
      </c>
      <c r="O28" s="81">
        <v>5.7</v>
      </c>
      <c r="P28" s="81">
        <v>5.8</v>
      </c>
      <c r="Q28" s="81">
        <v>5.7</v>
      </c>
      <c r="R28" s="81">
        <v>5.7</v>
      </c>
    </row>
    <row r="29" spans="1:35" ht="9.75" customHeight="1">
      <c r="A29" s="69" t="s">
        <v>77</v>
      </c>
      <c r="B29" s="78" t="s">
        <v>75</v>
      </c>
      <c r="C29" s="81">
        <v>3.9</v>
      </c>
      <c r="D29" s="81">
        <v>4.3</v>
      </c>
      <c r="E29" s="81">
        <v>5.8</v>
      </c>
      <c r="F29" s="81">
        <v>5.3</v>
      </c>
      <c r="G29" s="81">
        <v>4.7</v>
      </c>
      <c r="H29" s="81">
        <v>4.5</v>
      </c>
      <c r="I29" s="81">
        <v>5.0999999999999996</v>
      </c>
      <c r="J29" s="81">
        <v>5.0999999999999996</v>
      </c>
      <c r="K29" s="81">
        <v>5.7</v>
      </c>
      <c r="L29" s="81">
        <v>6</v>
      </c>
      <c r="M29" s="81">
        <v>5.9</v>
      </c>
      <c r="N29" s="81">
        <v>5.8</v>
      </c>
      <c r="O29" s="81">
        <v>6</v>
      </c>
      <c r="P29" s="81">
        <v>6.3</v>
      </c>
      <c r="Q29" s="81">
        <v>5.9</v>
      </c>
      <c r="R29" s="81">
        <v>5.9</v>
      </c>
    </row>
    <row r="30" spans="1:35" ht="9.75" customHeight="1">
      <c r="A30" s="69" t="s">
        <v>78</v>
      </c>
      <c r="B30" s="78" t="s">
        <v>75</v>
      </c>
      <c r="C30" s="82">
        <v>2.2000000000000002</v>
      </c>
      <c r="D30" s="82">
        <v>4.3</v>
      </c>
      <c r="E30" s="82">
        <v>5.7</v>
      </c>
      <c r="F30" s="82">
        <v>5.4</v>
      </c>
      <c r="G30" s="82">
        <v>4.5999999999999996</v>
      </c>
      <c r="H30" s="82">
        <v>4.4000000000000004</v>
      </c>
      <c r="I30" s="82">
        <v>4.5</v>
      </c>
      <c r="J30" s="82">
        <v>4.9000000000000004</v>
      </c>
      <c r="K30" s="82">
        <v>5.3</v>
      </c>
      <c r="L30" s="82">
        <v>5.3</v>
      </c>
      <c r="M30" s="82">
        <v>5.4</v>
      </c>
      <c r="N30" s="82">
        <v>5.4</v>
      </c>
      <c r="O30" s="82">
        <v>5.5</v>
      </c>
      <c r="P30" s="82">
        <v>5.4</v>
      </c>
      <c r="Q30" s="82">
        <v>5.4</v>
      </c>
      <c r="R30" s="82">
        <v>5.4</v>
      </c>
    </row>
    <row r="31" spans="1:35" ht="9.75" customHeight="1">
      <c r="A31" s="71" t="s">
        <v>5</v>
      </c>
      <c r="B31" s="78" t="s">
        <v>75</v>
      </c>
      <c r="C31" s="81">
        <v>2.2000000000000002</v>
      </c>
      <c r="D31" s="81">
        <v>4.5999999999999996</v>
      </c>
      <c r="E31" s="81">
        <v>6</v>
      </c>
      <c r="F31" s="81">
        <v>5.4</v>
      </c>
      <c r="G31" s="81">
        <v>4.7</v>
      </c>
      <c r="H31" s="81">
        <v>4.0999999999999996</v>
      </c>
      <c r="I31" s="81">
        <v>4.4000000000000004</v>
      </c>
      <c r="J31" s="81">
        <v>4.9000000000000004</v>
      </c>
      <c r="K31" s="81">
        <v>5.4</v>
      </c>
      <c r="L31" s="81">
        <v>5.5</v>
      </c>
      <c r="M31" s="81">
        <v>5.5</v>
      </c>
      <c r="N31" s="81">
        <v>5.5</v>
      </c>
      <c r="O31" s="81">
        <v>5.8</v>
      </c>
      <c r="P31" s="81">
        <v>5.5</v>
      </c>
      <c r="Q31" s="81">
        <v>5.6</v>
      </c>
      <c r="R31" s="81">
        <v>5.6</v>
      </c>
    </row>
    <row r="32" spans="1:35" ht="9.75" customHeight="1">
      <c r="A32" s="71" t="s">
        <v>6</v>
      </c>
      <c r="B32" s="78" t="s">
        <v>75</v>
      </c>
      <c r="C32" s="81">
        <v>3</v>
      </c>
      <c r="D32" s="81">
        <v>5.4</v>
      </c>
      <c r="E32" s="81">
        <v>5.9</v>
      </c>
      <c r="F32" s="81">
        <v>5.5</v>
      </c>
      <c r="G32" s="81">
        <v>5.2</v>
      </c>
      <c r="H32" s="81">
        <v>6.5</v>
      </c>
      <c r="I32" s="81">
        <v>5.2</v>
      </c>
      <c r="J32" s="81">
        <v>5.0999999999999996</v>
      </c>
      <c r="K32" s="81">
        <v>5.5</v>
      </c>
      <c r="L32" s="81">
        <v>5.5</v>
      </c>
      <c r="M32" s="81">
        <v>5.5</v>
      </c>
      <c r="N32" s="81">
        <v>5.5</v>
      </c>
      <c r="O32" s="81">
        <v>5.4</v>
      </c>
      <c r="P32" s="81">
        <v>5.4</v>
      </c>
      <c r="Q32" s="81">
        <v>5.5</v>
      </c>
      <c r="R32" s="81">
        <v>5.4</v>
      </c>
    </row>
    <row r="33" spans="1:18" ht="9.75" customHeight="1">
      <c r="A33" s="71" t="s">
        <v>79</v>
      </c>
      <c r="B33" s="78" t="s">
        <v>75</v>
      </c>
      <c r="C33" s="81">
        <v>1.4</v>
      </c>
      <c r="D33" s="81">
        <v>2.2999999999999998</v>
      </c>
      <c r="E33" s="81">
        <v>4.4000000000000004</v>
      </c>
      <c r="F33" s="81">
        <v>5.0999999999999996</v>
      </c>
      <c r="G33" s="81">
        <v>3.8</v>
      </c>
      <c r="H33" s="81">
        <v>4.5999999999999996</v>
      </c>
      <c r="I33" s="81">
        <v>4.5999999999999996</v>
      </c>
      <c r="J33" s="81">
        <v>4.5</v>
      </c>
      <c r="K33" s="81">
        <v>4.4000000000000004</v>
      </c>
      <c r="L33" s="81">
        <v>4.3</v>
      </c>
      <c r="M33" s="81">
        <v>4.4000000000000004</v>
      </c>
      <c r="N33" s="81">
        <v>4.4000000000000004</v>
      </c>
      <c r="O33" s="81">
        <v>4.4000000000000004</v>
      </c>
      <c r="P33" s="81">
        <v>4.4000000000000004</v>
      </c>
      <c r="Q33" s="81">
        <v>4.3</v>
      </c>
      <c r="R33" s="81">
        <v>4.3</v>
      </c>
    </row>
    <row r="34" spans="1:18" ht="9.75" customHeight="1">
      <c r="A34" s="71" t="s">
        <v>80</v>
      </c>
      <c r="B34" s="78" t="s">
        <v>75</v>
      </c>
      <c r="C34" s="81">
        <v>3.7</v>
      </c>
      <c r="D34" s="81">
        <v>5</v>
      </c>
      <c r="E34" s="81">
        <v>8.6</v>
      </c>
      <c r="F34" s="81">
        <v>5.5</v>
      </c>
      <c r="G34" s="81">
        <v>5.5</v>
      </c>
      <c r="H34" s="81">
        <v>4.5999999999999996</v>
      </c>
      <c r="I34" s="81">
        <v>4.4000000000000004</v>
      </c>
      <c r="J34" s="81">
        <v>5.0999999999999996</v>
      </c>
      <c r="K34" s="81">
        <v>5.7</v>
      </c>
      <c r="L34" s="81">
        <v>5.9</v>
      </c>
      <c r="M34" s="81">
        <v>5.7</v>
      </c>
      <c r="N34" s="81">
        <v>5.3</v>
      </c>
      <c r="O34" s="81">
        <v>5.7</v>
      </c>
      <c r="P34" s="81">
        <v>5.7</v>
      </c>
      <c r="Q34" s="81">
        <v>5.7</v>
      </c>
      <c r="R34" s="81">
        <v>5.6</v>
      </c>
    </row>
    <row r="35" spans="1:18" ht="9.75" customHeight="1">
      <c r="A35" s="71" t="s">
        <v>81</v>
      </c>
      <c r="B35" s="78" t="s">
        <v>75</v>
      </c>
      <c r="C35" s="81">
        <v>3.9</v>
      </c>
      <c r="D35" s="81">
        <v>4.2</v>
      </c>
      <c r="E35" s="81">
        <v>5.3</v>
      </c>
      <c r="F35" s="81">
        <v>4.2</v>
      </c>
      <c r="G35" s="81">
        <v>4.5</v>
      </c>
      <c r="H35" s="81">
        <v>5.2</v>
      </c>
      <c r="I35" s="81">
        <v>6.6</v>
      </c>
      <c r="J35" s="81">
        <v>6.7</v>
      </c>
      <c r="K35" s="81">
        <v>7.1</v>
      </c>
      <c r="L35" s="81">
        <v>7.2</v>
      </c>
      <c r="M35" s="81">
        <v>7.2</v>
      </c>
      <c r="N35" s="81">
        <v>7</v>
      </c>
      <c r="O35" s="81">
        <v>7.1</v>
      </c>
      <c r="P35" s="81">
        <v>7</v>
      </c>
      <c r="Q35" s="81">
        <v>7.2</v>
      </c>
      <c r="R35" s="81">
        <v>7.2</v>
      </c>
    </row>
    <row r="36" spans="1:18" ht="19.5" customHeight="1">
      <c r="A36" s="83" t="s">
        <v>67</v>
      </c>
      <c r="B36" s="78" t="s">
        <v>75</v>
      </c>
      <c r="C36" s="81">
        <v>1.1000000000000001</v>
      </c>
      <c r="D36" s="81">
        <v>2.2999999999999998</v>
      </c>
      <c r="E36" s="81">
        <v>3.8</v>
      </c>
      <c r="F36" s="81">
        <v>3.1</v>
      </c>
      <c r="G36" s="81">
        <v>2</v>
      </c>
      <c r="H36" s="81">
        <v>1.4</v>
      </c>
      <c r="I36" s="81">
        <v>3.9</v>
      </c>
      <c r="J36" s="81">
        <v>4.5999999999999996</v>
      </c>
      <c r="K36" s="81">
        <v>4.7</v>
      </c>
      <c r="L36" s="81">
        <v>4.8</v>
      </c>
      <c r="M36" s="81">
        <v>4.8</v>
      </c>
      <c r="N36" s="81">
        <v>4.5</v>
      </c>
      <c r="O36" s="81">
        <v>4.5</v>
      </c>
      <c r="P36" s="81">
        <v>4.7</v>
      </c>
      <c r="Q36" s="81">
        <v>4.9000000000000004</v>
      </c>
      <c r="R36" s="81">
        <v>5.2</v>
      </c>
    </row>
    <row r="37" spans="1:18" ht="9.75" customHeight="1">
      <c r="A37" s="69" t="s">
        <v>68</v>
      </c>
      <c r="B37" s="78" t="s">
        <v>75</v>
      </c>
      <c r="C37" s="81">
        <v>2.5</v>
      </c>
      <c r="D37" s="81">
        <v>10.4</v>
      </c>
      <c r="E37" s="81">
        <v>7.4</v>
      </c>
      <c r="F37" s="81">
        <v>2.4</v>
      </c>
      <c r="G37" s="81">
        <v>1.7</v>
      </c>
      <c r="H37" s="81">
        <v>2.9</v>
      </c>
      <c r="I37" s="81">
        <v>3.8</v>
      </c>
      <c r="J37" s="81">
        <v>4.3</v>
      </c>
      <c r="K37" s="81">
        <v>5</v>
      </c>
      <c r="L37" s="81">
        <v>5.6</v>
      </c>
      <c r="M37" s="81">
        <v>5.6</v>
      </c>
      <c r="N37" s="81">
        <v>5.7</v>
      </c>
      <c r="O37" s="81">
        <v>5.6</v>
      </c>
      <c r="P37" s="81">
        <v>5.8</v>
      </c>
      <c r="Q37" s="81">
        <v>5.9</v>
      </c>
      <c r="R37" s="81">
        <v>5.7</v>
      </c>
    </row>
    <row r="38" spans="1:18" ht="9.75" customHeight="1">
      <c r="A38" s="71" t="s">
        <v>18</v>
      </c>
      <c r="B38" s="78" t="s">
        <v>75</v>
      </c>
      <c r="C38" s="81">
        <v>2.1</v>
      </c>
      <c r="D38" s="81">
        <v>13.3</v>
      </c>
      <c r="E38" s="81">
        <v>8.4</v>
      </c>
      <c r="F38" s="81">
        <v>1.7</v>
      </c>
      <c r="G38" s="81">
        <v>1.4</v>
      </c>
      <c r="H38" s="81">
        <v>2.5</v>
      </c>
      <c r="I38" s="81">
        <v>3.2</v>
      </c>
      <c r="J38" s="81">
        <v>3.7</v>
      </c>
      <c r="K38" s="81">
        <v>4.8</v>
      </c>
      <c r="L38" s="81">
        <v>5.7</v>
      </c>
      <c r="M38" s="81">
        <v>5.8</v>
      </c>
      <c r="N38" s="81">
        <v>5.9</v>
      </c>
      <c r="O38" s="81">
        <v>5.8</v>
      </c>
      <c r="P38" s="81">
        <v>6</v>
      </c>
      <c r="Q38" s="81">
        <v>6</v>
      </c>
      <c r="R38" s="81">
        <v>5.9</v>
      </c>
    </row>
    <row r="39" spans="1:18" ht="9.75" customHeight="1">
      <c r="A39" s="71" t="s">
        <v>69</v>
      </c>
      <c r="B39" s="78" t="s">
        <v>75</v>
      </c>
      <c r="C39" s="81">
        <v>3.5</v>
      </c>
      <c r="D39" s="81">
        <v>3.1</v>
      </c>
      <c r="E39" s="81">
        <v>4.4000000000000004</v>
      </c>
      <c r="F39" s="81">
        <v>4.4000000000000004</v>
      </c>
      <c r="G39" s="81">
        <v>2.5</v>
      </c>
      <c r="H39" s="81">
        <v>4.0999999999999996</v>
      </c>
      <c r="I39" s="81">
        <v>5.5</v>
      </c>
      <c r="J39" s="81">
        <v>5.7</v>
      </c>
      <c r="K39" s="81">
        <v>5.6</v>
      </c>
      <c r="L39" s="81">
        <v>5.0999999999999996</v>
      </c>
      <c r="M39" s="81">
        <v>5.2</v>
      </c>
      <c r="N39" s="81">
        <v>5.3</v>
      </c>
      <c r="O39" s="81">
        <v>5.2</v>
      </c>
      <c r="P39" s="81">
        <v>5.2</v>
      </c>
      <c r="Q39" s="81">
        <v>5.4</v>
      </c>
      <c r="R39" s="81">
        <v>5.2</v>
      </c>
    </row>
    <row r="40" spans="1:18" ht="9.75" customHeight="1">
      <c r="A40" s="74" t="s">
        <v>82</v>
      </c>
      <c r="B40" s="78" t="s">
        <v>75</v>
      </c>
      <c r="C40" s="81">
        <v>3.2</v>
      </c>
      <c r="D40" s="81">
        <v>3.6</v>
      </c>
      <c r="E40" s="81">
        <v>4.0999999999999996</v>
      </c>
      <c r="F40" s="81">
        <v>4.9000000000000004</v>
      </c>
      <c r="G40" s="81">
        <v>2.9</v>
      </c>
      <c r="H40" s="81">
        <v>4.7</v>
      </c>
      <c r="I40" s="81">
        <v>6.3</v>
      </c>
      <c r="J40" s="81">
        <v>6.3</v>
      </c>
      <c r="K40" s="81">
        <v>6.5</v>
      </c>
      <c r="L40" s="81">
        <v>5.9</v>
      </c>
      <c r="M40" s="81">
        <v>5.9</v>
      </c>
      <c r="N40" s="81">
        <v>5.9</v>
      </c>
      <c r="O40" s="81">
        <v>5.9</v>
      </c>
      <c r="P40" s="81">
        <v>5.9</v>
      </c>
      <c r="Q40" s="81">
        <v>6.1</v>
      </c>
      <c r="R40" s="81">
        <v>5.6</v>
      </c>
    </row>
    <row r="41" spans="1:18" ht="9.75" customHeight="1">
      <c r="A41" s="74" t="s">
        <v>16</v>
      </c>
      <c r="B41" s="78" t="s">
        <v>75</v>
      </c>
      <c r="C41" s="81">
        <v>3.9</v>
      </c>
      <c r="D41" s="81">
        <v>2.7</v>
      </c>
      <c r="E41" s="81">
        <v>4.7</v>
      </c>
      <c r="F41" s="81">
        <v>4.0999999999999996</v>
      </c>
      <c r="G41" s="81">
        <v>2.2000000000000002</v>
      </c>
      <c r="H41" s="81">
        <v>3.6</v>
      </c>
      <c r="I41" s="81">
        <v>4.8</v>
      </c>
      <c r="J41" s="81">
        <v>5.2</v>
      </c>
      <c r="K41" s="81">
        <v>4.9000000000000004</v>
      </c>
      <c r="L41" s="81">
        <v>4.5</v>
      </c>
      <c r="M41" s="81">
        <v>4.5999999999999996</v>
      </c>
      <c r="N41" s="81">
        <v>4.7</v>
      </c>
      <c r="O41" s="81">
        <v>4.7</v>
      </c>
      <c r="P41" s="81">
        <v>4.7</v>
      </c>
      <c r="Q41" s="81">
        <v>4.8</v>
      </c>
      <c r="R41" s="81">
        <v>4.8</v>
      </c>
    </row>
    <row r="42" spans="1:18" ht="9.75" customHeight="1">
      <c r="A42" s="75" t="s">
        <v>12</v>
      </c>
      <c r="B42" s="78" t="s">
        <v>75</v>
      </c>
      <c r="C42" s="81">
        <v>9.6</v>
      </c>
      <c r="D42" s="81">
        <v>12.8</v>
      </c>
      <c r="E42" s="81">
        <v>1.2</v>
      </c>
      <c r="F42" s="81">
        <v>5</v>
      </c>
      <c r="G42" s="81">
        <v>-0.2</v>
      </c>
      <c r="H42" s="81">
        <v>6</v>
      </c>
      <c r="I42" s="81">
        <v>4.7</v>
      </c>
      <c r="J42" s="81">
        <v>4.4000000000000004</v>
      </c>
      <c r="K42" s="81">
        <v>5.6</v>
      </c>
      <c r="L42" s="81">
        <v>6.4</v>
      </c>
      <c r="M42" s="81">
        <v>6.3</v>
      </c>
      <c r="N42" s="81">
        <v>5.8</v>
      </c>
      <c r="O42" s="81">
        <v>6</v>
      </c>
      <c r="P42" s="81">
        <v>6.7</v>
      </c>
      <c r="Q42" s="81">
        <v>6.7</v>
      </c>
      <c r="R42" s="81">
        <v>6.3</v>
      </c>
    </row>
    <row r="43" spans="1:18" ht="9.75" customHeight="1">
      <c r="A43" s="75" t="s">
        <v>83</v>
      </c>
      <c r="B43" s="78" t="s">
        <v>75</v>
      </c>
      <c r="C43" s="81">
        <v>4.9000000000000004</v>
      </c>
      <c r="D43" s="81">
        <v>12.7</v>
      </c>
      <c r="E43" s="81">
        <v>5.8</v>
      </c>
      <c r="F43" s="81">
        <v>5.9</v>
      </c>
      <c r="G43" s="81">
        <v>4.3</v>
      </c>
      <c r="H43" s="81">
        <v>13.2</v>
      </c>
      <c r="I43" s="81">
        <v>3.6</v>
      </c>
      <c r="J43" s="81">
        <v>10.3</v>
      </c>
      <c r="K43" s="81">
        <v>0.7</v>
      </c>
      <c r="L43" s="81">
        <v>5.6</v>
      </c>
      <c r="M43" s="81">
        <v>5.6</v>
      </c>
      <c r="N43" s="81">
        <v>5.5</v>
      </c>
      <c r="O43" s="81">
        <v>5.5</v>
      </c>
      <c r="P43" s="81">
        <v>5.4</v>
      </c>
      <c r="Q43" s="81">
        <v>5.5</v>
      </c>
      <c r="R43" s="81">
        <v>5.4</v>
      </c>
    </row>
    <row r="44" spans="1:18" ht="9.75" customHeight="1">
      <c r="A44" s="68" t="s">
        <v>13</v>
      </c>
      <c r="B44" s="78" t="s">
        <v>75</v>
      </c>
      <c r="C44" s="81">
        <v>2.2999999999999998</v>
      </c>
      <c r="D44" s="81">
        <v>3.8</v>
      </c>
      <c r="E44" s="81">
        <v>4.5999999999999996</v>
      </c>
      <c r="F44" s="81">
        <v>3.4</v>
      </c>
      <c r="G44" s="81">
        <v>3</v>
      </c>
      <c r="H44" s="81">
        <v>2.4</v>
      </c>
      <c r="I44" s="81">
        <v>3.1</v>
      </c>
      <c r="J44" s="81">
        <v>2.5</v>
      </c>
      <c r="K44" s="81">
        <v>3</v>
      </c>
      <c r="L44" s="81">
        <v>3.5</v>
      </c>
      <c r="M44" s="81">
        <v>3.5</v>
      </c>
      <c r="N44" s="81">
        <v>3.3</v>
      </c>
      <c r="O44" s="81">
        <v>3.8</v>
      </c>
      <c r="P44" s="81">
        <v>4</v>
      </c>
      <c r="Q44" s="81">
        <v>3.7</v>
      </c>
      <c r="R44" s="81">
        <v>3.5</v>
      </c>
    </row>
    <row r="45" spans="1:18" ht="9.75" customHeight="1">
      <c r="A45" s="66" t="s">
        <v>84</v>
      </c>
      <c r="B45" s="78" t="s">
        <v>75</v>
      </c>
      <c r="C45" s="82">
        <v>0.5</v>
      </c>
      <c r="D45" s="82">
        <v>-2.8</v>
      </c>
      <c r="E45" s="82">
        <v>2.9</v>
      </c>
      <c r="F45" s="82">
        <v>1.7</v>
      </c>
      <c r="G45" s="82">
        <v>7.4</v>
      </c>
      <c r="H45" s="82">
        <v>3.6</v>
      </c>
      <c r="I45" s="82">
        <v>4</v>
      </c>
      <c r="J45" s="82">
        <v>5.0999999999999996</v>
      </c>
      <c r="K45" s="82">
        <v>5.2</v>
      </c>
      <c r="L45" s="82">
        <v>6</v>
      </c>
      <c r="M45" s="82">
        <v>5.2</v>
      </c>
      <c r="N45" s="82">
        <v>5.2</v>
      </c>
      <c r="O45" s="82">
        <v>5.3</v>
      </c>
      <c r="P45" s="82">
        <v>5.3</v>
      </c>
      <c r="Q45" s="82">
        <v>5.3</v>
      </c>
      <c r="R45" s="82">
        <v>5.2</v>
      </c>
    </row>
    <row r="46" spans="1:18" ht="9.75" customHeight="1">
      <c r="A46" s="68" t="s">
        <v>72</v>
      </c>
      <c r="B46" s="78" t="s">
        <v>75</v>
      </c>
      <c r="C46" s="81">
        <v>-3.5</v>
      </c>
      <c r="D46" s="81">
        <v>-1.4</v>
      </c>
      <c r="E46" s="81">
        <v>0.8</v>
      </c>
      <c r="F46" s="81">
        <v>2.1</v>
      </c>
      <c r="G46" s="81">
        <v>5.7</v>
      </c>
      <c r="H46" s="81">
        <v>5</v>
      </c>
      <c r="I46" s="81">
        <v>5.7</v>
      </c>
      <c r="J46" s="81">
        <v>5.6</v>
      </c>
      <c r="K46" s="81">
        <v>5.3</v>
      </c>
      <c r="L46" s="81">
        <v>7.5</v>
      </c>
      <c r="M46" s="81">
        <v>5</v>
      </c>
      <c r="N46" s="81">
        <v>4.9000000000000004</v>
      </c>
      <c r="O46" s="81">
        <v>4.9000000000000004</v>
      </c>
      <c r="P46" s="81">
        <v>5</v>
      </c>
      <c r="Q46" s="81">
        <v>5.0999999999999996</v>
      </c>
      <c r="R46" s="81">
        <v>5.0999999999999996</v>
      </c>
    </row>
    <row r="47" spans="1:18" ht="9.75" customHeight="1">
      <c r="A47" s="84" t="s">
        <v>73</v>
      </c>
      <c r="B47" s="85" t="s">
        <v>75</v>
      </c>
      <c r="C47" s="86">
        <v>2.4</v>
      </c>
      <c r="D47" s="86">
        <v>-3.5</v>
      </c>
      <c r="E47" s="86">
        <v>3.8</v>
      </c>
      <c r="F47" s="86">
        <v>1.5</v>
      </c>
      <c r="G47" s="86">
        <v>8.1</v>
      </c>
      <c r="H47" s="86">
        <v>3</v>
      </c>
      <c r="I47" s="86">
        <v>3.3</v>
      </c>
      <c r="J47" s="86">
        <v>4.9000000000000004</v>
      </c>
      <c r="K47" s="86">
        <v>5.2</v>
      </c>
      <c r="L47" s="86">
        <v>5.3</v>
      </c>
      <c r="M47" s="86">
        <v>5.3</v>
      </c>
      <c r="N47" s="86">
        <v>5.4</v>
      </c>
      <c r="O47" s="86">
        <v>5.4</v>
      </c>
      <c r="P47" s="86">
        <v>5.4</v>
      </c>
      <c r="Q47" s="86">
        <v>5.4</v>
      </c>
      <c r="R47" s="86">
        <v>5.3</v>
      </c>
    </row>
    <row r="48" spans="1:18" s="529" customFormat="1" ht="10.5">
      <c r="A48" s="527" t="s">
        <v>85</v>
      </c>
      <c r="B48" s="528"/>
      <c r="C48" s="528"/>
      <c r="D48" s="528"/>
      <c r="E48" s="528"/>
      <c r="F48" s="528"/>
      <c r="G48" s="528"/>
      <c r="H48" s="528"/>
      <c r="I48" s="528"/>
      <c r="J48" s="528"/>
      <c r="K48" s="528"/>
      <c r="L48" s="528"/>
      <c r="M48" s="528"/>
      <c r="N48" s="528"/>
      <c r="O48" s="528"/>
      <c r="P48" s="528"/>
      <c r="Q48" s="528"/>
      <c r="R48" s="528"/>
    </row>
    <row r="49" spans="1:18" ht="11.25" customHeight="1">
      <c r="A49" s="510" t="s">
        <v>86</v>
      </c>
      <c r="B49" s="510"/>
      <c r="C49" s="510"/>
      <c r="D49" s="510"/>
      <c r="E49" s="510"/>
      <c r="F49" s="510"/>
      <c r="G49" s="510"/>
      <c r="H49" s="510"/>
      <c r="I49" s="510"/>
      <c r="J49" s="510"/>
      <c r="K49" s="510"/>
      <c r="L49" s="510"/>
      <c r="M49" s="510"/>
      <c r="N49" s="510"/>
      <c r="O49" s="510"/>
      <c r="P49" s="510"/>
      <c r="Q49" s="510"/>
      <c r="R49" s="510"/>
    </row>
    <row r="50" spans="1:18" ht="11.25" customHeight="1">
      <c r="A50" s="511" t="s">
        <v>87</v>
      </c>
      <c r="B50" s="511"/>
      <c r="C50" s="511"/>
      <c r="D50" s="511"/>
      <c r="E50" s="511"/>
      <c r="F50" s="511"/>
      <c r="G50" s="511"/>
      <c r="H50" s="511"/>
      <c r="I50" s="511"/>
      <c r="J50" s="511"/>
      <c r="K50" s="511"/>
      <c r="L50" s="511"/>
      <c r="M50" s="511"/>
      <c r="N50" s="511"/>
      <c r="O50" s="511"/>
      <c r="P50" s="511"/>
      <c r="Q50" s="511"/>
      <c r="R50" s="511"/>
    </row>
    <row r="59" spans="1:18">
      <c r="C59" s="87"/>
      <c r="D59" s="87"/>
      <c r="E59" s="87"/>
      <c r="F59" s="87"/>
      <c r="G59" s="87"/>
      <c r="H59" s="87"/>
      <c r="I59" s="87"/>
      <c r="J59" s="87"/>
      <c r="K59" s="87"/>
      <c r="L59" s="87"/>
      <c r="M59" s="87"/>
      <c r="N59" s="87"/>
      <c r="O59" s="87"/>
      <c r="P59" s="87"/>
      <c r="Q59" s="87"/>
      <c r="R59" s="87"/>
    </row>
    <row r="60" spans="1:18">
      <c r="C60" s="87"/>
      <c r="D60" s="87"/>
      <c r="E60" s="87"/>
      <c r="F60" s="87"/>
      <c r="G60" s="87"/>
      <c r="H60" s="87"/>
      <c r="I60" s="87"/>
      <c r="J60" s="87"/>
      <c r="K60" s="87"/>
      <c r="L60" s="87"/>
      <c r="M60" s="87"/>
      <c r="N60" s="87"/>
      <c r="O60" s="87"/>
      <c r="P60" s="87"/>
      <c r="Q60" s="87"/>
      <c r="R60" s="87"/>
    </row>
    <row r="61" spans="1:18">
      <c r="C61" s="87"/>
      <c r="D61" s="87"/>
      <c r="E61" s="87"/>
      <c r="F61" s="87"/>
      <c r="G61" s="87"/>
      <c r="H61" s="87"/>
      <c r="I61" s="87"/>
      <c r="J61" s="87"/>
      <c r="K61" s="87"/>
      <c r="L61" s="87"/>
      <c r="M61" s="87"/>
      <c r="N61" s="87"/>
      <c r="O61" s="87"/>
      <c r="P61" s="87"/>
      <c r="Q61" s="87"/>
      <c r="R61" s="87"/>
    </row>
  </sheetData>
  <pageMargins left="0.7" right="0.7" top="0.75" bottom="0.75" header="0.3" footer="0.3"/>
  <pageSetup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52"/>
  <sheetViews>
    <sheetView zoomScale="140" zoomScaleNormal="140" workbookViewId="0">
      <pane xSplit="5" ySplit="8" topLeftCell="F33" activePane="bottomRight" state="frozen"/>
      <selection activeCell="D7" sqref="D7"/>
      <selection pane="topRight" activeCell="D7" sqref="D7"/>
      <selection pane="bottomLeft" activeCell="D7" sqref="D7"/>
      <selection pane="bottomRight" activeCell="A52" sqref="A52"/>
    </sheetView>
  </sheetViews>
  <sheetFormatPr defaultColWidth="7.1796875" defaultRowHeight="9"/>
  <cols>
    <col min="1" max="1" width="34.453125" style="235" customWidth="1"/>
    <col min="2" max="2" width="7.453125" style="235" customWidth="1"/>
    <col min="3" max="3" width="6.81640625" style="235" customWidth="1"/>
    <col min="4" max="14" width="7.1796875" style="235" customWidth="1"/>
    <col min="15" max="16" width="7.1796875" style="260" customWidth="1"/>
    <col min="17" max="17" width="6.81640625" style="260" customWidth="1"/>
    <col min="18" max="18" width="8" style="235" bestFit="1" customWidth="1"/>
    <col min="19" max="19" width="7.81640625" style="235" bestFit="1" customWidth="1"/>
    <col min="20" max="36" width="8" style="235" bestFit="1" customWidth="1"/>
    <col min="37" max="16384" width="7.1796875" style="235"/>
  </cols>
  <sheetData>
    <row r="1" spans="1:21" ht="18">
      <c r="A1" s="234" t="s">
        <v>231</v>
      </c>
      <c r="B1" s="234"/>
      <c r="C1" s="234"/>
      <c r="D1" s="234"/>
      <c r="E1" s="234"/>
      <c r="F1" s="234"/>
      <c r="G1" s="234"/>
      <c r="H1" s="234"/>
      <c r="I1" s="234"/>
      <c r="J1" s="234"/>
      <c r="K1" s="234"/>
      <c r="L1" s="234"/>
      <c r="M1" s="234"/>
      <c r="N1" s="234"/>
      <c r="O1" s="234"/>
      <c r="P1" s="234"/>
      <c r="Q1" s="234"/>
      <c r="R1" s="234"/>
    </row>
    <row r="2" spans="1:21">
      <c r="A2" s="236"/>
      <c r="B2" s="236"/>
      <c r="C2" s="236"/>
      <c r="D2" s="236"/>
      <c r="E2" s="236"/>
      <c r="F2" s="236"/>
      <c r="G2" s="236"/>
      <c r="I2" s="237" t="s">
        <v>62</v>
      </c>
      <c r="J2" s="237"/>
      <c r="K2" s="237"/>
      <c r="L2" s="237"/>
      <c r="M2" s="237"/>
      <c r="N2" s="237"/>
      <c r="O2" s="237"/>
      <c r="P2" s="237"/>
      <c r="Q2" s="237"/>
      <c r="R2" s="237"/>
    </row>
    <row r="3" spans="1:21">
      <c r="A3" s="238" t="s">
        <v>148</v>
      </c>
      <c r="B3" s="239">
        <v>2012</v>
      </c>
      <c r="C3" s="239">
        <v>2013</v>
      </c>
      <c r="D3" s="239">
        <v>2014</v>
      </c>
      <c r="E3" s="239">
        <v>2015</v>
      </c>
      <c r="F3" s="239">
        <v>2016</v>
      </c>
      <c r="G3" s="239">
        <v>2017</v>
      </c>
      <c r="H3" s="239">
        <v>2018</v>
      </c>
      <c r="I3" s="239">
        <v>2019</v>
      </c>
      <c r="J3" s="239">
        <v>2020</v>
      </c>
      <c r="K3" s="239">
        <v>2021</v>
      </c>
      <c r="L3" s="239">
        <v>2022</v>
      </c>
      <c r="M3" s="239">
        <v>2023</v>
      </c>
      <c r="N3" s="239">
        <v>2024</v>
      </c>
      <c r="O3" s="239">
        <v>2025</v>
      </c>
      <c r="P3" s="239">
        <v>2026</v>
      </c>
      <c r="Q3" s="239">
        <v>2027</v>
      </c>
      <c r="R3" s="239">
        <v>2028</v>
      </c>
    </row>
    <row r="4" spans="1:21" ht="9" customHeight="1">
      <c r="A4" s="240" t="s">
        <v>24</v>
      </c>
      <c r="B4" s="240"/>
      <c r="C4" s="240"/>
      <c r="D4" s="240"/>
      <c r="E4" s="240"/>
      <c r="F4" s="240"/>
      <c r="G4" s="240"/>
      <c r="H4" s="240"/>
      <c r="I4" s="240"/>
      <c r="J4" s="240"/>
      <c r="K4" s="240"/>
      <c r="L4" s="240"/>
      <c r="M4" s="240"/>
      <c r="N4" s="240"/>
      <c r="O4" s="240"/>
      <c r="P4" s="240"/>
      <c r="Q4" s="240"/>
      <c r="R4" s="240"/>
    </row>
    <row r="5" spans="1:21">
      <c r="A5" s="235" t="s">
        <v>25</v>
      </c>
      <c r="B5" s="241">
        <v>2791.1</v>
      </c>
      <c r="C5" s="241">
        <v>2875</v>
      </c>
      <c r="D5" s="241">
        <v>3025.4</v>
      </c>
      <c r="E5" s="241">
        <v>3199.6</v>
      </c>
      <c r="F5" s="241">
        <v>3347.4</v>
      </c>
      <c r="G5" s="241">
        <v>3487.3</v>
      </c>
      <c r="H5" s="241">
        <v>3649.4</v>
      </c>
      <c r="I5" s="241">
        <v>3814.6</v>
      </c>
      <c r="J5" s="241">
        <v>4014.2</v>
      </c>
      <c r="K5" s="241">
        <v>4217.1000000000004</v>
      </c>
      <c r="L5" s="241">
        <v>4456</v>
      </c>
      <c r="M5" s="241">
        <v>4706.3</v>
      </c>
      <c r="N5" s="241">
        <v>4966.1000000000004</v>
      </c>
      <c r="O5" s="241">
        <v>5247.4</v>
      </c>
      <c r="P5" s="241">
        <v>5549.5</v>
      </c>
      <c r="Q5" s="241">
        <v>5862.9</v>
      </c>
      <c r="R5" s="241">
        <v>6192.5</v>
      </c>
      <c r="U5" s="242"/>
    </row>
    <row r="6" spans="1:21">
      <c r="A6" s="235" t="s">
        <v>232</v>
      </c>
      <c r="B6" s="243">
        <v>922</v>
      </c>
      <c r="C6" s="243">
        <v>939.1</v>
      </c>
      <c r="D6" s="243">
        <v>994.1</v>
      </c>
      <c r="E6" s="243">
        <v>1060.9000000000001</v>
      </c>
      <c r="F6" s="243">
        <v>1119.9000000000001</v>
      </c>
      <c r="G6" s="243">
        <v>1175</v>
      </c>
      <c r="H6" s="243">
        <v>1243</v>
      </c>
      <c r="I6" s="243">
        <v>1290</v>
      </c>
      <c r="J6" s="243">
        <v>1356.9</v>
      </c>
      <c r="K6" s="243">
        <v>1410.6</v>
      </c>
      <c r="L6" s="243">
        <v>1480.2</v>
      </c>
      <c r="M6" s="243">
        <v>1554.7</v>
      </c>
      <c r="N6" s="243">
        <v>1632.3</v>
      </c>
      <c r="O6" s="243">
        <v>1713.8</v>
      </c>
      <c r="P6" s="243">
        <v>1799.1</v>
      </c>
      <c r="Q6" s="243">
        <v>1888.4</v>
      </c>
      <c r="R6" s="243">
        <v>1981.8</v>
      </c>
      <c r="U6" s="242"/>
    </row>
    <row r="7" spans="1:21">
      <c r="A7" s="235" t="s">
        <v>233</v>
      </c>
      <c r="B7" s="243">
        <v>809.8</v>
      </c>
      <c r="C7" s="243">
        <v>824.2</v>
      </c>
      <c r="D7" s="243">
        <v>869.5</v>
      </c>
      <c r="E7" s="243">
        <v>936.5</v>
      </c>
      <c r="F7" s="243">
        <v>989.7</v>
      </c>
      <c r="G7" s="243">
        <v>1032.4000000000001</v>
      </c>
      <c r="H7" s="243">
        <v>1078.7</v>
      </c>
      <c r="I7" s="243">
        <v>1122.4000000000001</v>
      </c>
      <c r="J7" s="243">
        <v>1175.2</v>
      </c>
      <c r="K7" s="243">
        <v>1232</v>
      </c>
      <c r="L7" s="243">
        <v>1293.9000000000001</v>
      </c>
      <c r="M7" s="243">
        <v>1360.1</v>
      </c>
      <c r="N7" s="243">
        <v>1429.6</v>
      </c>
      <c r="O7" s="243">
        <v>1502.8</v>
      </c>
      <c r="P7" s="243">
        <v>1579.5</v>
      </c>
      <c r="Q7" s="243">
        <v>1659.9</v>
      </c>
      <c r="R7" s="243">
        <v>1744.1</v>
      </c>
      <c r="T7" s="244"/>
      <c r="U7" s="242"/>
    </row>
    <row r="8" spans="1:21">
      <c r="A8" s="235" t="s">
        <v>234</v>
      </c>
      <c r="B8" s="243">
        <v>16197</v>
      </c>
      <c r="C8" s="243">
        <v>16784.900000000001</v>
      </c>
      <c r="D8" s="243">
        <v>17527.3</v>
      </c>
      <c r="E8" s="243">
        <v>18224.8</v>
      </c>
      <c r="F8" s="243">
        <v>18715</v>
      </c>
      <c r="G8" s="243">
        <v>19519.400000000001</v>
      </c>
      <c r="H8" s="243">
        <v>20580.2</v>
      </c>
      <c r="I8" s="243">
        <v>21444.6</v>
      </c>
      <c r="J8" s="243">
        <v>22259.5</v>
      </c>
      <c r="K8" s="243">
        <v>23205.5</v>
      </c>
      <c r="L8" s="243">
        <v>24238.1</v>
      </c>
      <c r="M8" s="243">
        <v>25316.7</v>
      </c>
      <c r="N8" s="243">
        <v>26468.6</v>
      </c>
      <c r="O8" s="243">
        <v>27646.5</v>
      </c>
      <c r="P8" s="243">
        <v>28849.1</v>
      </c>
      <c r="Q8" s="243">
        <v>30104.1</v>
      </c>
      <c r="R8" s="243">
        <v>31413.599999999999</v>
      </c>
      <c r="T8" s="245"/>
      <c r="U8" s="242"/>
    </row>
    <row r="9" spans="1:21">
      <c r="A9" s="235" t="s">
        <v>235</v>
      </c>
      <c r="B9" s="246">
        <v>14010.1</v>
      </c>
      <c r="C9" s="246">
        <v>14181.1</v>
      </c>
      <c r="D9" s="246">
        <v>14991.7</v>
      </c>
      <c r="E9" s="246">
        <v>15717.8</v>
      </c>
      <c r="F9" s="246">
        <v>16121.2</v>
      </c>
      <c r="G9" s="246">
        <v>16878.8</v>
      </c>
      <c r="H9" s="246">
        <v>17819.2</v>
      </c>
      <c r="I9" s="246">
        <v>18715.8</v>
      </c>
      <c r="J9" s="246">
        <v>19571.5</v>
      </c>
      <c r="K9" s="246">
        <v>20402.3</v>
      </c>
      <c r="L9" s="246">
        <v>21312.5</v>
      </c>
      <c r="M9" s="246">
        <v>22297.1</v>
      </c>
      <c r="N9" s="246">
        <v>23342.400000000001</v>
      </c>
      <c r="O9" s="246">
        <v>24434.799999999999</v>
      </c>
      <c r="P9" s="246">
        <v>25564.1</v>
      </c>
      <c r="Q9" s="246">
        <v>26742.3</v>
      </c>
      <c r="R9" s="246">
        <v>27959.1</v>
      </c>
      <c r="U9" s="242"/>
    </row>
    <row r="10" spans="1:21">
      <c r="A10" s="235" t="s">
        <v>236</v>
      </c>
      <c r="B10" s="246">
        <v>12501.2</v>
      </c>
      <c r="C10" s="246">
        <v>12505.3</v>
      </c>
      <c r="D10" s="246">
        <v>13207.7</v>
      </c>
      <c r="E10" s="246">
        <v>13780</v>
      </c>
      <c r="F10" s="246">
        <v>14165.1</v>
      </c>
      <c r="G10" s="246">
        <v>14833</v>
      </c>
      <c r="H10" s="246">
        <v>15741.5</v>
      </c>
      <c r="I10" s="246">
        <v>16512.8</v>
      </c>
      <c r="J10" s="246">
        <v>17189.900000000001</v>
      </c>
      <c r="K10" s="246">
        <v>17954.8</v>
      </c>
      <c r="L10" s="246">
        <v>18771.8</v>
      </c>
      <c r="M10" s="246">
        <v>19625.900000000001</v>
      </c>
      <c r="N10" s="246">
        <v>20518.8</v>
      </c>
      <c r="O10" s="246">
        <v>21431.9</v>
      </c>
      <c r="P10" s="246">
        <v>22385.7</v>
      </c>
      <c r="Q10" s="246">
        <v>23381.8</v>
      </c>
      <c r="R10" s="246">
        <v>24422.3</v>
      </c>
      <c r="U10" s="242"/>
    </row>
    <row r="11" spans="1:21" s="248" customFormat="1">
      <c r="A11" s="247" t="s">
        <v>237</v>
      </c>
      <c r="B11" s="247"/>
      <c r="C11" s="247"/>
      <c r="D11" s="247"/>
      <c r="E11" s="247"/>
      <c r="F11" s="247"/>
      <c r="G11" s="247"/>
      <c r="H11" s="247"/>
      <c r="I11" s="247"/>
      <c r="J11" s="247"/>
      <c r="K11" s="247"/>
      <c r="L11" s="247"/>
      <c r="M11" s="247"/>
      <c r="N11" s="247"/>
      <c r="O11" s="247"/>
      <c r="P11" s="247"/>
      <c r="Q11" s="247"/>
      <c r="R11" s="247"/>
    </row>
    <row r="12" spans="1:21" ht="18">
      <c r="A12" s="249" t="s">
        <v>238</v>
      </c>
      <c r="B12" s="243">
        <v>100</v>
      </c>
      <c r="C12" s="243">
        <v>101.5</v>
      </c>
      <c r="D12" s="243">
        <v>102.9</v>
      </c>
      <c r="E12" s="243">
        <v>103.5</v>
      </c>
      <c r="F12" s="243">
        <v>104.8</v>
      </c>
      <c r="G12" s="243">
        <v>106.1</v>
      </c>
      <c r="H12" s="243">
        <v>107.7</v>
      </c>
      <c r="I12" s="243">
        <v>109.3</v>
      </c>
      <c r="J12" s="243">
        <v>111.3</v>
      </c>
      <c r="K12" s="243">
        <v>113.7</v>
      </c>
      <c r="L12" s="243">
        <v>116.5</v>
      </c>
      <c r="M12" s="243">
        <v>119.4</v>
      </c>
      <c r="N12" s="243">
        <v>122.4</v>
      </c>
      <c r="O12" s="243">
        <v>125.6</v>
      </c>
      <c r="P12" s="243">
        <v>129</v>
      </c>
      <c r="Q12" s="243">
        <v>132.6</v>
      </c>
      <c r="R12" s="243">
        <v>136.30000000000001</v>
      </c>
    </row>
    <row r="13" spans="1:21" ht="18">
      <c r="A13" s="249" t="s">
        <v>239</v>
      </c>
      <c r="B13" s="243">
        <v>100</v>
      </c>
      <c r="C13" s="243">
        <v>101.8</v>
      </c>
      <c r="D13" s="243">
        <v>103.6</v>
      </c>
      <c r="E13" s="243">
        <v>104.7</v>
      </c>
      <c r="F13" s="243">
        <v>105.8</v>
      </c>
      <c r="G13" s="243">
        <v>107.8</v>
      </c>
      <c r="H13" s="243">
        <v>110.4</v>
      </c>
      <c r="I13" s="243">
        <v>112.5</v>
      </c>
      <c r="J13" s="243">
        <v>114.8</v>
      </c>
      <c r="K13" s="243">
        <v>117.4</v>
      </c>
      <c r="L13" s="243">
        <v>120.1</v>
      </c>
      <c r="M13" s="243">
        <v>122.8</v>
      </c>
      <c r="N13" s="243">
        <v>125.5</v>
      </c>
      <c r="O13" s="243">
        <v>128.4</v>
      </c>
      <c r="P13" s="243">
        <v>131.19999999999999</v>
      </c>
      <c r="Q13" s="243">
        <v>134.19999999999999</v>
      </c>
      <c r="R13" s="243">
        <v>137.19999999999999</v>
      </c>
    </row>
    <row r="14" spans="1:21">
      <c r="A14" s="235" t="s">
        <v>240</v>
      </c>
      <c r="B14" s="243">
        <v>229.6</v>
      </c>
      <c r="C14" s="243">
        <v>233</v>
      </c>
      <c r="D14" s="243">
        <v>236.7</v>
      </c>
      <c r="E14" s="243">
        <v>237</v>
      </c>
      <c r="F14" s="243">
        <v>240</v>
      </c>
      <c r="G14" s="243">
        <v>245.1</v>
      </c>
      <c r="H14" s="243">
        <v>251.2</v>
      </c>
      <c r="I14" s="243">
        <v>255.8</v>
      </c>
      <c r="J14" s="243">
        <v>262.60000000000002</v>
      </c>
      <c r="K14" s="243">
        <v>269.39999999999998</v>
      </c>
      <c r="L14" s="243">
        <v>276.39999999999998</v>
      </c>
      <c r="M14" s="243">
        <v>283.60000000000002</v>
      </c>
      <c r="N14" s="243">
        <v>291</v>
      </c>
      <c r="O14" s="243">
        <v>298.5</v>
      </c>
      <c r="P14" s="243">
        <v>306.3</v>
      </c>
      <c r="Q14" s="243">
        <v>314.3</v>
      </c>
      <c r="R14" s="243">
        <v>322.39999999999998</v>
      </c>
    </row>
    <row r="15" spans="1:21">
      <c r="A15" s="247" t="s">
        <v>241</v>
      </c>
      <c r="B15" s="247"/>
      <c r="C15" s="247"/>
      <c r="D15" s="247"/>
      <c r="E15" s="247"/>
      <c r="F15" s="247"/>
      <c r="G15" s="247"/>
      <c r="H15" s="247"/>
      <c r="I15" s="247"/>
      <c r="J15" s="247"/>
      <c r="K15" s="247"/>
      <c r="L15" s="247"/>
      <c r="M15" s="247"/>
      <c r="N15" s="247"/>
      <c r="O15" s="247"/>
      <c r="P15" s="247"/>
      <c r="Q15" s="247"/>
      <c r="R15" s="247"/>
    </row>
    <row r="16" spans="1:21" ht="10.5">
      <c r="A16" s="235" t="s">
        <v>242</v>
      </c>
      <c r="B16" s="250">
        <v>313</v>
      </c>
      <c r="C16" s="250">
        <v>316</v>
      </c>
      <c r="D16" s="250">
        <v>318</v>
      </c>
      <c r="E16" s="250">
        <v>320</v>
      </c>
      <c r="F16" s="250">
        <v>323</v>
      </c>
      <c r="G16" s="250">
        <v>325</v>
      </c>
      <c r="H16" s="250">
        <v>327</v>
      </c>
      <c r="I16" s="250">
        <v>329</v>
      </c>
      <c r="J16" s="250">
        <v>331</v>
      </c>
      <c r="K16" s="250">
        <v>334</v>
      </c>
      <c r="L16" s="250">
        <v>336</v>
      </c>
      <c r="M16" s="250">
        <v>339</v>
      </c>
      <c r="N16" s="250">
        <v>341</v>
      </c>
      <c r="O16" s="250">
        <v>344</v>
      </c>
      <c r="P16" s="250">
        <v>346</v>
      </c>
      <c r="Q16" s="250">
        <v>349</v>
      </c>
      <c r="R16" s="250">
        <v>352</v>
      </c>
    </row>
    <row r="17" spans="1:21">
      <c r="A17" s="235" t="s">
        <v>243</v>
      </c>
      <c r="B17" s="250">
        <v>42</v>
      </c>
      <c r="C17" s="250">
        <v>44</v>
      </c>
      <c r="D17" s="250">
        <v>45</v>
      </c>
      <c r="E17" s="250">
        <v>47</v>
      </c>
      <c r="F17" s="250">
        <v>48</v>
      </c>
      <c r="G17" s="250">
        <v>50</v>
      </c>
      <c r="H17" s="250">
        <v>52</v>
      </c>
      <c r="I17" s="250">
        <v>53</v>
      </c>
      <c r="J17" s="250">
        <v>55</v>
      </c>
      <c r="K17" s="250">
        <v>57</v>
      </c>
      <c r="L17" s="250">
        <v>58</v>
      </c>
      <c r="M17" s="250">
        <v>60</v>
      </c>
      <c r="N17" s="250">
        <v>62</v>
      </c>
      <c r="O17" s="250">
        <v>64</v>
      </c>
      <c r="P17" s="250">
        <v>65</v>
      </c>
      <c r="Q17" s="250">
        <v>67</v>
      </c>
      <c r="R17" s="250">
        <v>68</v>
      </c>
    </row>
    <row r="18" spans="1:21">
      <c r="A18" s="235" t="s">
        <v>244</v>
      </c>
      <c r="B18" s="250">
        <v>271</v>
      </c>
      <c r="C18" s="250">
        <v>272</v>
      </c>
      <c r="D18" s="250">
        <v>273</v>
      </c>
      <c r="E18" s="250">
        <v>273</v>
      </c>
      <c r="F18" s="250">
        <v>274</v>
      </c>
      <c r="G18" s="250">
        <v>275</v>
      </c>
      <c r="H18" s="250">
        <v>275</v>
      </c>
      <c r="I18" s="250">
        <v>276</v>
      </c>
      <c r="J18" s="250">
        <v>276</v>
      </c>
      <c r="K18" s="250">
        <v>277</v>
      </c>
      <c r="L18" s="250">
        <v>278</v>
      </c>
      <c r="M18" s="250">
        <v>278</v>
      </c>
      <c r="N18" s="250">
        <v>279</v>
      </c>
      <c r="O18" s="250">
        <v>280</v>
      </c>
      <c r="P18" s="250">
        <v>281</v>
      </c>
      <c r="Q18" s="250">
        <v>282</v>
      </c>
      <c r="R18" s="250">
        <v>283</v>
      </c>
    </row>
    <row r="19" spans="1:21" ht="9" customHeight="1">
      <c r="A19" s="247" t="s">
        <v>161</v>
      </c>
      <c r="B19" s="247"/>
      <c r="C19" s="247"/>
      <c r="D19" s="247"/>
      <c r="E19" s="247"/>
      <c r="F19" s="247"/>
      <c r="G19" s="247"/>
      <c r="H19" s="247"/>
      <c r="I19" s="247"/>
      <c r="J19" s="247"/>
      <c r="K19" s="247"/>
      <c r="L19" s="247"/>
      <c r="M19" s="247"/>
      <c r="N19" s="247"/>
      <c r="O19" s="247"/>
      <c r="P19" s="247"/>
      <c r="Q19" s="247"/>
      <c r="R19" s="247"/>
      <c r="S19" s="488" t="s">
        <v>1022</v>
      </c>
    </row>
    <row r="20" spans="1:21">
      <c r="A20" s="235" t="s">
        <v>25</v>
      </c>
      <c r="B20" s="251" t="s">
        <v>75</v>
      </c>
      <c r="C20" s="252">
        <v>0.03</v>
      </c>
      <c r="D20" s="252">
        <v>5.1999999999999998E-2</v>
      </c>
      <c r="E20" s="252">
        <v>5.8000000000000003E-2</v>
      </c>
      <c r="F20" s="252">
        <v>4.5999999999999999E-2</v>
      </c>
      <c r="G20" s="252">
        <v>4.2000000000000003E-2</v>
      </c>
      <c r="H20" s="252">
        <v>4.5999999999999999E-2</v>
      </c>
      <c r="I20" s="252">
        <v>4.4999999999999998E-2</v>
      </c>
      <c r="J20" s="252">
        <v>5.1999999999999998E-2</v>
      </c>
      <c r="K20" s="252">
        <v>5.0999999999999997E-2</v>
      </c>
      <c r="L20" s="252">
        <v>5.7000000000000002E-2</v>
      </c>
      <c r="M20" s="252">
        <v>5.6000000000000001E-2</v>
      </c>
      <c r="N20" s="252">
        <v>5.5E-2</v>
      </c>
      <c r="O20" s="252">
        <v>5.7000000000000002E-2</v>
      </c>
      <c r="P20" s="252">
        <v>5.8000000000000003E-2</v>
      </c>
      <c r="Q20" s="252">
        <v>5.6000000000000001E-2</v>
      </c>
      <c r="R20" s="252">
        <v>5.6000000000000001E-2</v>
      </c>
      <c r="S20" s="489">
        <f>(1+M20)*(1+N20)*(1+O20)*(1+P20)*(1+Q20)*(1+R20)*(1+AVERAGE(P20:R20))^3</f>
        <v>1.6391507310194049</v>
      </c>
    </row>
    <row r="21" spans="1:21">
      <c r="A21" s="235" t="s">
        <v>232</v>
      </c>
      <c r="B21" s="251" t="s">
        <v>75</v>
      </c>
      <c r="C21" s="253">
        <v>1.9</v>
      </c>
      <c r="D21" s="253">
        <v>5.9</v>
      </c>
      <c r="E21" s="253">
        <v>6.7</v>
      </c>
      <c r="F21" s="253">
        <v>5.6</v>
      </c>
      <c r="G21" s="253">
        <v>4.9000000000000004</v>
      </c>
      <c r="H21" s="253">
        <v>5.8</v>
      </c>
      <c r="I21" s="253">
        <v>3.8</v>
      </c>
      <c r="J21" s="253">
        <v>5.2</v>
      </c>
      <c r="K21" s="253">
        <v>4</v>
      </c>
      <c r="L21" s="253">
        <v>4.9000000000000004</v>
      </c>
      <c r="M21" s="253">
        <v>5</v>
      </c>
      <c r="N21" s="253">
        <v>5</v>
      </c>
      <c r="O21" s="253">
        <v>5</v>
      </c>
      <c r="P21" s="253">
        <v>5</v>
      </c>
      <c r="Q21" s="253">
        <v>5</v>
      </c>
      <c r="R21" s="253">
        <v>4.9000000000000004</v>
      </c>
      <c r="S21" s="489">
        <f>(1+M21/100)*(1+N21/100)*(1+O21/100)*(1+P21/100)*(1+Q21/100)*(1+R21/100)*(1+(AVERAGE(P21:R21)/100))^3</f>
        <v>1.5483751807285506</v>
      </c>
    </row>
    <row r="22" spans="1:21">
      <c r="A22" s="235" t="s">
        <v>233</v>
      </c>
      <c r="B22" s="251" t="s">
        <v>75</v>
      </c>
      <c r="C22" s="253">
        <v>1.8</v>
      </c>
      <c r="D22" s="253">
        <v>5.5</v>
      </c>
      <c r="E22" s="253">
        <v>7.7</v>
      </c>
      <c r="F22" s="253">
        <v>5.7</v>
      </c>
      <c r="G22" s="253">
        <v>4.3</v>
      </c>
      <c r="H22" s="253">
        <v>4.5</v>
      </c>
      <c r="I22" s="253">
        <v>4</v>
      </c>
      <c r="J22" s="253">
        <v>4.7</v>
      </c>
      <c r="K22" s="253">
        <v>4.8</v>
      </c>
      <c r="L22" s="253">
        <v>5</v>
      </c>
      <c r="M22" s="253">
        <v>5.0999999999999996</v>
      </c>
      <c r="N22" s="253">
        <v>5.0999999999999996</v>
      </c>
      <c r="O22" s="253">
        <v>5.0999999999999996</v>
      </c>
      <c r="P22" s="253">
        <v>5.0999999999999996</v>
      </c>
      <c r="Q22" s="253">
        <v>5.0999999999999996</v>
      </c>
      <c r="R22" s="253">
        <v>5.0999999999999996</v>
      </c>
      <c r="S22" s="489">
        <f t="shared" ref="S22:S31" si="0">(1+M22/100)*(1+N22/100)*(1+O22/100)*(1+P22/100)*(1+Q22/100)*(1+R22/100)*(1+(AVERAGE(P22:R22)/100))^3</f>
        <v>1.5646760833168312</v>
      </c>
    </row>
    <row r="23" spans="1:21">
      <c r="A23" s="235" t="s">
        <v>234</v>
      </c>
      <c r="B23" s="251" t="s">
        <v>75</v>
      </c>
      <c r="C23" s="253">
        <v>3.6</v>
      </c>
      <c r="D23" s="253">
        <v>4.4000000000000004</v>
      </c>
      <c r="E23" s="253">
        <v>4</v>
      </c>
      <c r="F23" s="253">
        <v>2.7</v>
      </c>
      <c r="G23" s="253">
        <v>4.3</v>
      </c>
      <c r="H23" s="253">
        <v>5.4</v>
      </c>
      <c r="I23" s="253">
        <v>4.2</v>
      </c>
      <c r="J23" s="253">
        <v>3.8</v>
      </c>
      <c r="K23" s="253">
        <v>4.2</v>
      </c>
      <c r="L23" s="253">
        <v>4.5</v>
      </c>
      <c r="M23" s="253">
        <v>4.4000000000000004</v>
      </c>
      <c r="N23" s="253">
        <v>4.5999999999999996</v>
      </c>
      <c r="O23" s="253">
        <v>4.5</v>
      </c>
      <c r="P23" s="253">
        <v>4.4000000000000004</v>
      </c>
      <c r="Q23" s="253">
        <v>4.4000000000000004</v>
      </c>
      <c r="R23" s="253">
        <v>4.4000000000000004</v>
      </c>
      <c r="S23" s="489">
        <f>(1+M23/100)*(1+N23/100)*(1+O23/100)*(1+P23/100)*(1+Q23/100)*(1+R23/100)*(1.038)^3</f>
        <v>1.4522521569441211</v>
      </c>
    </row>
    <row r="24" spans="1:21">
      <c r="A24" s="235" t="s">
        <v>235</v>
      </c>
      <c r="B24" s="251" t="s">
        <v>75</v>
      </c>
      <c r="C24" s="253">
        <v>1.2</v>
      </c>
      <c r="D24" s="253">
        <v>5.7</v>
      </c>
      <c r="E24" s="253">
        <v>4.8</v>
      </c>
      <c r="F24" s="253">
        <v>2.6</v>
      </c>
      <c r="G24" s="253">
        <v>4.7</v>
      </c>
      <c r="H24" s="253">
        <v>5.6</v>
      </c>
      <c r="I24" s="253">
        <v>5</v>
      </c>
      <c r="J24" s="253">
        <v>4.5999999999999996</v>
      </c>
      <c r="K24" s="253">
        <v>4.2</v>
      </c>
      <c r="L24" s="253">
        <v>4.5</v>
      </c>
      <c r="M24" s="253">
        <v>4.5999999999999996</v>
      </c>
      <c r="N24" s="253">
        <v>4.7</v>
      </c>
      <c r="O24" s="253">
        <v>4.7</v>
      </c>
      <c r="P24" s="253">
        <v>4.5999999999999996</v>
      </c>
      <c r="Q24" s="253">
        <v>4.5999999999999996</v>
      </c>
      <c r="R24" s="253">
        <v>4.5999999999999996</v>
      </c>
      <c r="S24" s="489">
        <f t="shared" si="0"/>
        <v>1.5018105645878319</v>
      </c>
    </row>
    <row r="25" spans="1:21">
      <c r="A25" s="235" t="s">
        <v>236</v>
      </c>
      <c r="B25" s="251" t="s">
        <v>75</v>
      </c>
      <c r="C25" s="253">
        <v>0</v>
      </c>
      <c r="D25" s="253">
        <v>5.6</v>
      </c>
      <c r="E25" s="253">
        <v>4.3</v>
      </c>
      <c r="F25" s="253">
        <v>2.8</v>
      </c>
      <c r="G25" s="253">
        <v>4.7</v>
      </c>
      <c r="H25" s="253">
        <v>6.1</v>
      </c>
      <c r="I25" s="253">
        <v>4.9000000000000004</v>
      </c>
      <c r="J25" s="253">
        <v>4.0999999999999996</v>
      </c>
      <c r="K25" s="253">
        <v>4.5</v>
      </c>
      <c r="L25" s="253">
        <v>4.5</v>
      </c>
      <c r="M25" s="253">
        <v>4.5999999999999996</v>
      </c>
      <c r="N25" s="253">
        <v>4.5</v>
      </c>
      <c r="O25" s="253">
        <v>4.5</v>
      </c>
      <c r="P25" s="253">
        <v>4.5</v>
      </c>
      <c r="Q25" s="253">
        <v>4.4000000000000004</v>
      </c>
      <c r="R25" s="253">
        <v>4.5</v>
      </c>
      <c r="S25" s="489">
        <f t="shared" si="0"/>
        <v>1.4846721338138116</v>
      </c>
      <c r="U25" s="242"/>
    </row>
    <row r="26" spans="1:21" ht="18">
      <c r="A26" s="249" t="s">
        <v>238</v>
      </c>
      <c r="B26" s="251" t="s">
        <v>75</v>
      </c>
      <c r="C26" s="253">
        <v>1.5</v>
      </c>
      <c r="D26" s="253">
        <v>1.4</v>
      </c>
      <c r="E26" s="253">
        <v>0.6</v>
      </c>
      <c r="F26" s="253">
        <v>1.2</v>
      </c>
      <c r="G26" s="253">
        <v>1.3</v>
      </c>
      <c r="H26" s="253">
        <v>1.5</v>
      </c>
      <c r="I26" s="253">
        <v>1.5</v>
      </c>
      <c r="J26" s="253">
        <v>1.9</v>
      </c>
      <c r="K26" s="253">
        <v>2.2000000000000002</v>
      </c>
      <c r="L26" s="253">
        <v>2.4</v>
      </c>
      <c r="M26" s="253">
        <v>2.5</v>
      </c>
      <c r="N26" s="253">
        <v>2.5</v>
      </c>
      <c r="O26" s="253">
        <v>2.6</v>
      </c>
      <c r="P26" s="253">
        <v>2.7</v>
      </c>
      <c r="Q26" s="253">
        <v>2.8</v>
      </c>
      <c r="R26" s="253">
        <v>2.8</v>
      </c>
      <c r="S26" s="489">
        <f>(1+M26/100)*(1+N26/100)*(1+O26/100)*(1+P26/100)*(1+Q26/100)*(1+R26/100)*(1+(AVERAGE(P26:R26)/100))^3</f>
        <v>1.2697217952932514</v>
      </c>
    </row>
    <row r="27" spans="1:21" ht="18">
      <c r="A27" s="249" t="s">
        <v>239</v>
      </c>
      <c r="B27" s="251" t="s">
        <v>75</v>
      </c>
      <c r="C27" s="253">
        <v>1.8</v>
      </c>
      <c r="D27" s="253">
        <v>1.8</v>
      </c>
      <c r="E27" s="253">
        <v>1</v>
      </c>
      <c r="F27" s="253">
        <v>1</v>
      </c>
      <c r="G27" s="253">
        <v>1.9</v>
      </c>
      <c r="H27" s="253">
        <v>2.4</v>
      </c>
      <c r="I27" s="253">
        <v>1.9</v>
      </c>
      <c r="J27" s="253">
        <v>2.1</v>
      </c>
      <c r="K27" s="253">
        <v>2.2999999999999998</v>
      </c>
      <c r="L27" s="253">
        <v>2.2000000000000002</v>
      </c>
      <c r="M27" s="253">
        <v>2.2999999999999998</v>
      </c>
      <c r="N27" s="253">
        <v>2.2999999999999998</v>
      </c>
      <c r="O27" s="253">
        <v>2.2000000000000002</v>
      </c>
      <c r="P27" s="253">
        <v>2.2000000000000002</v>
      </c>
      <c r="Q27" s="253">
        <v>2.2999999999999998</v>
      </c>
      <c r="R27" s="253">
        <v>2.2999999999999998</v>
      </c>
      <c r="S27" s="489">
        <f t="shared" si="0"/>
        <v>1.2235074781173663</v>
      </c>
    </row>
    <row r="28" spans="1:21">
      <c r="A28" s="235" t="s">
        <v>240</v>
      </c>
      <c r="B28" s="251" t="s">
        <v>75</v>
      </c>
      <c r="C28" s="253">
        <v>1.5</v>
      </c>
      <c r="D28" s="253">
        <v>1.6</v>
      </c>
      <c r="E28" s="253">
        <v>0.1</v>
      </c>
      <c r="F28" s="253">
        <v>1.3</v>
      </c>
      <c r="G28" s="253">
        <v>2.1</v>
      </c>
      <c r="H28" s="253">
        <v>2.5</v>
      </c>
      <c r="I28" s="253">
        <v>1.8</v>
      </c>
      <c r="J28" s="253">
        <v>2.6</v>
      </c>
      <c r="K28" s="253">
        <v>2.6</v>
      </c>
      <c r="L28" s="253">
        <v>2.6</v>
      </c>
      <c r="M28" s="253">
        <v>2.6</v>
      </c>
      <c r="N28" s="253">
        <v>2.6</v>
      </c>
      <c r="O28" s="253">
        <v>2.6</v>
      </c>
      <c r="P28" s="253">
        <v>2.6</v>
      </c>
      <c r="Q28" s="253">
        <v>2.6</v>
      </c>
      <c r="R28" s="253">
        <v>2.6</v>
      </c>
      <c r="S28" s="489">
        <f t="shared" si="0"/>
        <v>1.2598714862693317</v>
      </c>
    </row>
    <row r="29" spans="1:21" ht="10.5">
      <c r="A29" s="235" t="s">
        <v>242</v>
      </c>
      <c r="B29" s="251" t="s">
        <v>75</v>
      </c>
      <c r="C29" s="253">
        <v>0.7</v>
      </c>
      <c r="D29" s="253">
        <v>0.7</v>
      </c>
      <c r="E29" s="253">
        <v>0.7</v>
      </c>
      <c r="F29" s="253">
        <v>0.8</v>
      </c>
      <c r="G29" s="253">
        <v>0.7</v>
      </c>
      <c r="H29" s="253">
        <v>0.6</v>
      </c>
      <c r="I29" s="253">
        <v>0.7</v>
      </c>
      <c r="J29" s="253">
        <v>0.7</v>
      </c>
      <c r="K29" s="253">
        <v>0.7</v>
      </c>
      <c r="L29" s="253">
        <v>0.7</v>
      </c>
      <c r="M29" s="253">
        <v>0.7</v>
      </c>
      <c r="N29" s="253">
        <v>0.8</v>
      </c>
      <c r="O29" s="253">
        <v>0.8</v>
      </c>
      <c r="P29" s="253">
        <v>0.8</v>
      </c>
      <c r="Q29" s="253">
        <v>0.8</v>
      </c>
      <c r="R29" s="253">
        <v>0.7</v>
      </c>
      <c r="S29" s="489">
        <f t="shared" si="0"/>
        <v>1.0711535881186796</v>
      </c>
    </row>
    <row r="30" spans="1:21">
      <c r="A30" s="235" t="s">
        <v>243</v>
      </c>
      <c r="B30" s="251" t="s">
        <v>75</v>
      </c>
      <c r="C30" s="253">
        <v>3.4</v>
      </c>
      <c r="D30" s="253">
        <v>3.5</v>
      </c>
      <c r="E30" s="253">
        <v>3</v>
      </c>
      <c r="F30" s="253">
        <v>3.5</v>
      </c>
      <c r="G30" s="253">
        <v>3.3</v>
      </c>
      <c r="H30" s="253">
        <v>3.3</v>
      </c>
      <c r="I30" s="253">
        <v>3.2</v>
      </c>
      <c r="J30" s="253">
        <v>3.2</v>
      </c>
      <c r="K30" s="253">
        <v>3.1</v>
      </c>
      <c r="L30" s="253">
        <v>3.1</v>
      </c>
      <c r="M30" s="253">
        <v>3</v>
      </c>
      <c r="N30" s="253">
        <v>2.9</v>
      </c>
      <c r="O30" s="253">
        <v>2.8</v>
      </c>
      <c r="P30" s="253">
        <v>2.7</v>
      </c>
      <c r="Q30" s="253">
        <v>2.5</v>
      </c>
      <c r="R30" s="253">
        <v>2.2999999999999998</v>
      </c>
      <c r="S30" s="489">
        <f t="shared" si="0"/>
        <v>1.2635349319085436</v>
      </c>
    </row>
    <row r="31" spans="1:21">
      <c r="A31" s="235" t="s">
        <v>244</v>
      </c>
      <c r="B31" s="251" t="s">
        <v>75</v>
      </c>
      <c r="C31" s="253">
        <v>0.3</v>
      </c>
      <c r="D31" s="253">
        <v>0.3</v>
      </c>
      <c r="E31" s="253">
        <v>0.3</v>
      </c>
      <c r="F31" s="253">
        <v>0.3</v>
      </c>
      <c r="G31" s="253">
        <v>0.2</v>
      </c>
      <c r="H31" s="253">
        <v>0.1</v>
      </c>
      <c r="I31" s="253">
        <v>0.2</v>
      </c>
      <c r="J31" s="253">
        <v>0.2</v>
      </c>
      <c r="K31" s="253">
        <v>0.2</v>
      </c>
      <c r="L31" s="253">
        <v>0.2</v>
      </c>
      <c r="M31" s="253">
        <v>0.3</v>
      </c>
      <c r="N31" s="253">
        <v>0.3</v>
      </c>
      <c r="O31" s="253">
        <v>0.3</v>
      </c>
      <c r="P31" s="253">
        <v>0.3</v>
      </c>
      <c r="Q31" s="253">
        <v>0.4</v>
      </c>
      <c r="R31" s="253">
        <v>0.4</v>
      </c>
      <c r="S31" s="489">
        <f t="shared" si="0"/>
        <v>1.0314297648986739</v>
      </c>
    </row>
    <row r="32" spans="1:21" ht="9" customHeight="1">
      <c r="A32" s="247" t="s">
        <v>50</v>
      </c>
      <c r="B32" s="247"/>
      <c r="C32" s="247"/>
      <c r="D32" s="247"/>
      <c r="E32" s="247"/>
      <c r="F32" s="247"/>
      <c r="G32" s="247"/>
      <c r="H32" s="247"/>
      <c r="I32" s="247"/>
      <c r="J32" s="247"/>
      <c r="K32" s="247"/>
      <c r="L32" s="247"/>
      <c r="M32" s="247"/>
      <c r="N32" s="247"/>
      <c r="O32" s="247"/>
      <c r="P32" s="247"/>
      <c r="Q32" s="247"/>
      <c r="R32" s="247"/>
    </row>
    <row r="33" spans="1:36">
      <c r="A33" s="235" t="s">
        <v>25</v>
      </c>
      <c r="B33" s="242">
        <v>8908</v>
      </c>
      <c r="C33" s="242">
        <v>9113</v>
      </c>
      <c r="D33" s="242">
        <v>9518</v>
      </c>
      <c r="E33" s="242">
        <v>9995</v>
      </c>
      <c r="F33" s="242">
        <v>10379</v>
      </c>
      <c r="G33" s="242">
        <v>10742</v>
      </c>
      <c r="H33" s="242">
        <v>11172</v>
      </c>
      <c r="I33" s="242">
        <v>11597</v>
      </c>
      <c r="J33" s="242">
        <v>12118</v>
      </c>
      <c r="K33" s="242">
        <v>12641</v>
      </c>
      <c r="L33" s="242">
        <v>13261</v>
      </c>
      <c r="M33" s="242">
        <v>13903</v>
      </c>
      <c r="N33" s="242">
        <v>14559</v>
      </c>
      <c r="O33" s="242">
        <v>15266</v>
      </c>
      <c r="P33" s="242">
        <v>16021</v>
      </c>
      <c r="Q33" s="242">
        <v>16798</v>
      </c>
      <c r="R33" s="242">
        <v>17611</v>
      </c>
    </row>
    <row r="34" spans="1:36">
      <c r="A34" s="235" t="s">
        <v>232</v>
      </c>
      <c r="B34" s="254">
        <v>2943</v>
      </c>
      <c r="C34" s="254">
        <v>2977</v>
      </c>
      <c r="D34" s="254">
        <v>3128</v>
      </c>
      <c r="E34" s="254">
        <v>3314</v>
      </c>
      <c r="F34" s="254">
        <v>3472</v>
      </c>
      <c r="G34" s="254">
        <v>3620</v>
      </c>
      <c r="H34" s="254">
        <v>3805</v>
      </c>
      <c r="I34" s="254">
        <v>3922</v>
      </c>
      <c r="J34" s="254">
        <v>4096</v>
      </c>
      <c r="K34" s="254">
        <v>4228</v>
      </c>
      <c r="L34" s="254">
        <v>4405</v>
      </c>
      <c r="M34" s="254">
        <v>4593</v>
      </c>
      <c r="N34" s="254">
        <v>4785</v>
      </c>
      <c r="O34" s="254">
        <v>4986</v>
      </c>
      <c r="P34" s="254">
        <v>5194</v>
      </c>
      <c r="Q34" s="254">
        <v>5411</v>
      </c>
      <c r="R34" s="254">
        <v>5636</v>
      </c>
    </row>
    <row r="35" spans="1:36">
      <c r="A35" s="235" t="s">
        <v>233</v>
      </c>
      <c r="B35" s="254">
        <v>2585</v>
      </c>
      <c r="C35" s="254">
        <v>2612</v>
      </c>
      <c r="D35" s="254">
        <v>2736</v>
      </c>
      <c r="E35" s="254">
        <v>2925</v>
      </c>
      <c r="F35" s="254">
        <v>3068</v>
      </c>
      <c r="G35" s="254">
        <v>3180</v>
      </c>
      <c r="H35" s="254">
        <v>3302</v>
      </c>
      <c r="I35" s="254">
        <v>3412</v>
      </c>
      <c r="J35" s="254">
        <v>3548</v>
      </c>
      <c r="K35" s="254">
        <v>3693</v>
      </c>
      <c r="L35" s="254">
        <v>3851</v>
      </c>
      <c r="M35" s="254">
        <v>4018</v>
      </c>
      <c r="N35" s="254">
        <v>4191</v>
      </c>
      <c r="O35" s="254">
        <v>4372</v>
      </c>
      <c r="P35" s="254">
        <v>4560</v>
      </c>
      <c r="Q35" s="254">
        <v>4756</v>
      </c>
      <c r="R35" s="254">
        <v>4960</v>
      </c>
    </row>
    <row r="36" spans="1:36">
      <c r="A36" s="235" t="s">
        <v>234</v>
      </c>
      <c r="B36" s="254">
        <v>51695</v>
      </c>
      <c r="C36" s="254">
        <v>53200</v>
      </c>
      <c r="D36" s="254">
        <v>55143</v>
      </c>
      <c r="E36" s="254">
        <v>56932</v>
      </c>
      <c r="F36" s="254">
        <v>58025</v>
      </c>
      <c r="G36" s="254">
        <v>60128</v>
      </c>
      <c r="H36" s="254">
        <v>63004</v>
      </c>
      <c r="I36" s="254">
        <v>65193</v>
      </c>
      <c r="J36" s="254">
        <v>67197</v>
      </c>
      <c r="K36" s="254">
        <v>69559</v>
      </c>
      <c r="L36" s="254">
        <v>72134</v>
      </c>
      <c r="M36" s="254">
        <v>74788</v>
      </c>
      <c r="N36" s="254">
        <v>77598</v>
      </c>
      <c r="O36" s="254">
        <v>80430</v>
      </c>
      <c r="P36" s="254">
        <v>83286</v>
      </c>
      <c r="Q36" s="254">
        <v>86253</v>
      </c>
      <c r="R36" s="254">
        <v>89339</v>
      </c>
    </row>
    <row r="37" spans="1:36">
      <c r="A37" s="235" t="s">
        <v>235</v>
      </c>
      <c r="B37" s="254">
        <v>44715</v>
      </c>
      <c r="C37" s="254">
        <v>44948</v>
      </c>
      <c r="D37" s="254">
        <v>47165</v>
      </c>
      <c r="E37" s="254">
        <v>49100</v>
      </c>
      <c r="F37" s="254">
        <v>49983</v>
      </c>
      <c r="G37" s="254">
        <v>51994</v>
      </c>
      <c r="H37" s="254">
        <v>54552</v>
      </c>
      <c r="I37" s="254">
        <v>56897</v>
      </c>
      <c r="J37" s="254">
        <v>59082</v>
      </c>
      <c r="K37" s="254">
        <v>61156</v>
      </c>
      <c r="L37" s="254">
        <v>63427</v>
      </c>
      <c r="M37" s="254">
        <v>65868</v>
      </c>
      <c r="N37" s="254">
        <v>68433</v>
      </c>
      <c r="O37" s="254">
        <v>71086</v>
      </c>
      <c r="P37" s="254">
        <v>73803</v>
      </c>
      <c r="Q37" s="254">
        <v>76621</v>
      </c>
      <c r="R37" s="254">
        <v>79515</v>
      </c>
      <c r="U37" s="255"/>
      <c r="V37" s="255"/>
      <c r="W37" s="255"/>
      <c r="X37" s="255"/>
      <c r="Y37" s="255"/>
      <c r="Z37" s="255"/>
      <c r="AA37" s="255"/>
      <c r="AB37" s="255"/>
      <c r="AC37" s="255"/>
      <c r="AD37" s="255"/>
      <c r="AE37" s="255"/>
      <c r="AF37" s="255"/>
      <c r="AG37" s="255"/>
      <c r="AH37" s="255"/>
      <c r="AI37" s="255"/>
      <c r="AJ37" s="255"/>
    </row>
    <row r="38" spans="1:36">
      <c r="A38" s="235" t="s">
        <v>236</v>
      </c>
      <c r="B38" s="254">
        <v>39900</v>
      </c>
      <c r="C38" s="254">
        <v>39636</v>
      </c>
      <c r="D38" s="254">
        <v>41553</v>
      </c>
      <c r="E38" s="254">
        <v>43047</v>
      </c>
      <c r="F38" s="254">
        <v>43919</v>
      </c>
      <c r="G38" s="254">
        <v>45692</v>
      </c>
      <c r="H38" s="254">
        <v>48191</v>
      </c>
      <c r="I38" s="254">
        <v>50200</v>
      </c>
      <c r="J38" s="254">
        <v>51893</v>
      </c>
      <c r="K38" s="254">
        <v>53820</v>
      </c>
      <c r="L38" s="254">
        <v>55865</v>
      </c>
      <c r="M38" s="254">
        <v>57976</v>
      </c>
      <c r="N38" s="254">
        <v>60155</v>
      </c>
      <c r="O38" s="254">
        <v>62350</v>
      </c>
      <c r="P38" s="254">
        <v>64627</v>
      </c>
      <c r="Q38" s="254">
        <v>66993</v>
      </c>
      <c r="R38" s="254">
        <v>69456</v>
      </c>
      <c r="U38" s="242"/>
    </row>
    <row r="39" spans="1:36" ht="9" customHeight="1">
      <c r="A39" s="247" t="s">
        <v>245</v>
      </c>
      <c r="B39" s="247"/>
      <c r="C39" s="247"/>
      <c r="D39" s="247"/>
      <c r="E39" s="247"/>
      <c r="F39" s="247"/>
      <c r="G39" s="247"/>
      <c r="H39" s="247"/>
      <c r="I39" s="247"/>
      <c r="J39" s="247"/>
      <c r="K39" s="247"/>
      <c r="L39" s="247"/>
      <c r="M39" s="247"/>
      <c r="N39" s="247"/>
      <c r="O39" s="247"/>
      <c r="P39" s="247"/>
      <c r="Q39" s="247"/>
      <c r="R39" s="247"/>
    </row>
    <row r="40" spans="1:36">
      <c r="A40" s="235" t="s">
        <v>25</v>
      </c>
      <c r="B40" s="251" t="s">
        <v>75</v>
      </c>
      <c r="C40" s="252">
        <v>2.3E-2</v>
      </c>
      <c r="D40" s="252">
        <v>4.4999999999999998E-2</v>
      </c>
      <c r="E40" s="252">
        <v>0.05</v>
      </c>
      <c r="F40" s="252">
        <v>3.7999999999999999E-2</v>
      </c>
      <c r="G40" s="252">
        <v>3.5000000000000003E-2</v>
      </c>
      <c r="H40" s="252">
        <v>0.04</v>
      </c>
      <c r="I40" s="252">
        <v>3.7999999999999999E-2</v>
      </c>
      <c r="J40" s="252">
        <v>4.4999999999999998E-2</v>
      </c>
      <c r="K40" s="252">
        <v>4.2999999999999997E-2</v>
      </c>
      <c r="L40" s="252">
        <v>4.9000000000000002E-2</v>
      </c>
      <c r="M40" s="252">
        <v>4.8000000000000001E-2</v>
      </c>
      <c r="N40" s="252">
        <v>4.7E-2</v>
      </c>
      <c r="O40" s="252">
        <v>4.9000000000000002E-2</v>
      </c>
      <c r="P40" s="252">
        <v>4.9000000000000002E-2</v>
      </c>
      <c r="Q40" s="252">
        <v>4.9000000000000002E-2</v>
      </c>
      <c r="R40" s="252">
        <v>4.8000000000000001E-2</v>
      </c>
    </row>
    <row r="41" spans="1:36">
      <c r="A41" s="235" t="s">
        <v>232</v>
      </c>
      <c r="B41" s="251" t="s">
        <v>75</v>
      </c>
      <c r="C41" s="253">
        <v>1.1000000000000001</v>
      </c>
      <c r="D41" s="253">
        <v>5.0999999999999996</v>
      </c>
      <c r="E41" s="253">
        <v>6</v>
      </c>
      <c r="F41" s="253">
        <v>4.8</v>
      </c>
      <c r="G41" s="253">
        <v>4.2</v>
      </c>
      <c r="H41" s="253">
        <v>5.0999999999999996</v>
      </c>
      <c r="I41" s="253">
        <v>3.1</v>
      </c>
      <c r="J41" s="253">
        <v>4.4000000000000004</v>
      </c>
      <c r="K41" s="253">
        <v>3.2</v>
      </c>
      <c r="L41" s="253">
        <v>4.2</v>
      </c>
      <c r="M41" s="253">
        <v>4.3</v>
      </c>
      <c r="N41" s="253">
        <v>4.2</v>
      </c>
      <c r="O41" s="253">
        <v>4.2</v>
      </c>
      <c r="P41" s="253">
        <v>4.2</v>
      </c>
      <c r="Q41" s="253">
        <v>4.2</v>
      </c>
      <c r="R41" s="253">
        <v>4.2</v>
      </c>
    </row>
    <row r="42" spans="1:36">
      <c r="A42" s="235" t="s">
        <v>233</v>
      </c>
      <c r="B42" s="251" t="s">
        <v>75</v>
      </c>
      <c r="C42" s="253">
        <v>1.1000000000000001</v>
      </c>
      <c r="D42" s="253">
        <v>4.7</v>
      </c>
      <c r="E42" s="253">
        <v>6.9</v>
      </c>
      <c r="F42" s="253">
        <v>4.9000000000000004</v>
      </c>
      <c r="G42" s="253">
        <v>3.6</v>
      </c>
      <c r="H42" s="253">
        <v>3.8</v>
      </c>
      <c r="I42" s="253">
        <v>3.3</v>
      </c>
      <c r="J42" s="253">
        <v>4</v>
      </c>
      <c r="K42" s="253">
        <v>4.0999999999999996</v>
      </c>
      <c r="L42" s="253">
        <v>4.3</v>
      </c>
      <c r="M42" s="253">
        <v>4.3</v>
      </c>
      <c r="N42" s="253">
        <v>4.3</v>
      </c>
      <c r="O42" s="253">
        <v>4.3</v>
      </c>
      <c r="P42" s="253">
        <v>4.3</v>
      </c>
      <c r="Q42" s="253">
        <v>4.3</v>
      </c>
      <c r="R42" s="253">
        <v>4.3</v>
      </c>
    </row>
    <row r="43" spans="1:36">
      <c r="A43" s="235" t="s">
        <v>234</v>
      </c>
      <c r="B43" s="251" t="s">
        <v>75</v>
      </c>
      <c r="C43" s="253">
        <v>2.9</v>
      </c>
      <c r="D43" s="253">
        <v>3.7</v>
      </c>
      <c r="E43" s="253">
        <v>3.2</v>
      </c>
      <c r="F43" s="253">
        <v>1.9</v>
      </c>
      <c r="G43" s="253">
        <v>3.6</v>
      </c>
      <c r="H43" s="253">
        <v>4.8</v>
      </c>
      <c r="I43" s="253">
        <v>3.5</v>
      </c>
      <c r="J43" s="253">
        <v>3.1</v>
      </c>
      <c r="K43" s="253">
        <v>3.5</v>
      </c>
      <c r="L43" s="253">
        <v>3.7</v>
      </c>
      <c r="M43" s="253">
        <v>3.7</v>
      </c>
      <c r="N43" s="253">
        <v>3.8</v>
      </c>
      <c r="O43" s="253">
        <v>3.6</v>
      </c>
      <c r="P43" s="253">
        <v>3.6</v>
      </c>
      <c r="Q43" s="253">
        <v>3.6</v>
      </c>
      <c r="R43" s="253">
        <v>3.6</v>
      </c>
      <c r="T43" s="256"/>
      <c r="U43" s="256"/>
      <c r="V43" s="256"/>
      <c r="W43" s="256"/>
      <c r="X43" s="256"/>
      <c r="Y43" s="256"/>
      <c r="Z43" s="256"/>
      <c r="AA43" s="256"/>
      <c r="AB43" s="256"/>
      <c r="AC43" s="256"/>
      <c r="AD43" s="256"/>
      <c r="AE43" s="256"/>
      <c r="AF43" s="256"/>
      <c r="AG43" s="256"/>
      <c r="AH43" s="256"/>
      <c r="AI43" s="256"/>
      <c r="AJ43" s="256"/>
    </row>
    <row r="44" spans="1:36">
      <c r="A44" s="235" t="s">
        <v>235</v>
      </c>
      <c r="B44" s="251" t="s">
        <v>75</v>
      </c>
      <c r="C44" s="253">
        <v>0.5</v>
      </c>
      <c r="D44" s="253">
        <v>4.9000000000000004</v>
      </c>
      <c r="E44" s="253">
        <v>4.0999999999999996</v>
      </c>
      <c r="F44" s="253">
        <v>1.8</v>
      </c>
      <c r="G44" s="253">
        <v>4</v>
      </c>
      <c r="H44" s="253">
        <v>4.9000000000000004</v>
      </c>
      <c r="I44" s="253">
        <v>4.3</v>
      </c>
      <c r="J44" s="253">
        <v>3.8</v>
      </c>
      <c r="K44" s="253">
        <v>3.5</v>
      </c>
      <c r="L44" s="253">
        <v>3.7</v>
      </c>
      <c r="M44" s="253">
        <v>3.8</v>
      </c>
      <c r="N44" s="253">
        <v>3.9</v>
      </c>
      <c r="O44" s="253">
        <v>3.9</v>
      </c>
      <c r="P44" s="253">
        <v>3.8</v>
      </c>
      <c r="Q44" s="253">
        <v>3.8</v>
      </c>
      <c r="R44" s="253">
        <v>3.8</v>
      </c>
    </row>
    <row r="45" spans="1:36">
      <c r="A45" s="235" t="s">
        <v>236</v>
      </c>
      <c r="B45" s="251" t="s">
        <v>75</v>
      </c>
      <c r="C45" s="253">
        <v>-0.7</v>
      </c>
      <c r="D45" s="253">
        <v>4.8</v>
      </c>
      <c r="E45" s="253">
        <v>3.6</v>
      </c>
      <c r="F45" s="253">
        <v>2</v>
      </c>
      <c r="G45" s="253">
        <v>4</v>
      </c>
      <c r="H45" s="253">
        <v>5.5</v>
      </c>
      <c r="I45" s="253">
        <v>4.2</v>
      </c>
      <c r="J45" s="253">
        <v>3.4</v>
      </c>
      <c r="K45" s="253">
        <v>3.7</v>
      </c>
      <c r="L45" s="253">
        <v>3.8</v>
      </c>
      <c r="M45" s="253">
        <v>3.8</v>
      </c>
      <c r="N45" s="253">
        <v>3.8</v>
      </c>
      <c r="O45" s="253">
        <v>3.6</v>
      </c>
      <c r="P45" s="253">
        <v>3.7</v>
      </c>
      <c r="Q45" s="253">
        <v>3.7</v>
      </c>
      <c r="R45" s="253">
        <v>3.7</v>
      </c>
      <c r="U45" s="242"/>
    </row>
    <row r="46" spans="1:36">
      <c r="A46" s="247" t="s">
        <v>246</v>
      </c>
      <c r="B46" s="247"/>
      <c r="C46" s="247"/>
      <c r="D46" s="247"/>
      <c r="E46" s="247"/>
      <c r="F46" s="247"/>
      <c r="G46" s="247"/>
      <c r="H46" s="247"/>
      <c r="I46" s="247"/>
      <c r="J46" s="247"/>
      <c r="K46" s="247"/>
      <c r="L46" s="247"/>
      <c r="M46" s="247"/>
      <c r="N46" s="247"/>
      <c r="O46" s="247"/>
      <c r="P46" s="247"/>
      <c r="Q46" s="247"/>
      <c r="R46" s="247"/>
    </row>
    <row r="47" spans="1:36" ht="18">
      <c r="A47" s="257" t="s">
        <v>247</v>
      </c>
      <c r="B47" s="258">
        <v>0.17199999999999999</v>
      </c>
      <c r="C47" s="258">
        <v>0.17100000000000001</v>
      </c>
      <c r="D47" s="258">
        <v>0.17299999999999999</v>
      </c>
      <c r="E47" s="258">
        <v>0.17599999999999999</v>
      </c>
      <c r="F47" s="258">
        <v>0.17899999999999999</v>
      </c>
      <c r="G47" s="258">
        <v>0.17899999999999999</v>
      </c>
      <c r="H47" s="258">
        <v>0.17699999999999999</v>
      </c>
      <c r="I47" s="258">
        <v>0.17799999999999999</v>
      </c>
      <c r="J47" s="258">
        <v>0.18</v>
      </c>
      <c r="K47" s="258">
        <v>0.182</v>
      </c>
      <c r="L47" s="258">
        <v>0.184</v>
      </c>
      <c r="M47" s="258">
        <v>0.186</v>
      </c>
      <c r="N47" s="258">
        <v>0.188</v>
      </c>
      <c r="O47" s="258">
        <v>0.19</v>
      </c>
      <c r="P47" s="258">
        <v>0.192</v>
      </c>
      <c r="Q47" s="258">
        <v>0.19500000000000001</v>
      </c>
      <c r="R47" s="258">
        <v>0.19700000000000001</v>
      </c>
      <c r="U47" s="255"/>
      <c r="V47" s="255"/>
      <c r="W47" s="255"/>
      <c r="X47" s="255"/>
      <c r="Y47" s="255"/>
      <c r="Z47" s="255"/>
      <c r="AA47" s="255"/>
      <c r="AB47" s="255"/>
      <c r="AC47" s="255"/>
      <c r="AD47" s="255"/>
      <c r="AE47" s="255"/>
      <c r="AF47" s="255"/>
      <c r="AG47" s="255"/>
      <c r="AH47" s="255"/>
      <c r="AI47" s="255"/>
      <c r="AJ47" s="255"/>
    </row>
    <row r="48" spans="1:36" s="530" customFormat="1" ht="28.5" customHeight="1">
      <c r="A48" s="235" t="s">
        <v>248</v>
      </c>
    </row>
    <row r="49" spans="1:20">
      <c r="A49" s="235" t="s">
        <v>249</v>
      </c>
      <c r="O49" s="235"/>
      <c r="P49" s="235"/>
      <c r="Q49" s="235"/>
    </row>
    <row r="50" spans="1:20">
      <c r="A50" s="235" t="s">
        <v>250</v>
      </c>
      <c r="B50" s="259"/>
      <c r="C50" s="259"/>
      <c r="D50" s="259"/>
      <c r="E50" s="259"/>
      <c r="F50" s="259"/>
      <c r="G50" s="259"/>
      <c r="H50" s="259"/>
      <c r="I50" s="259"/>
      <c r="J50" s="259"/>
      <c r="K50" s="259"/>
      <c r="L50" s="259"/>
      <c r="M50" s="259"/>
      <c r="N50" s="259"/>
    </row>
    <row r="51" spans="1:20">
      <c r="B51" s="259"/>
      <c r="C51" s="259"/>
      <c r="D51" s="259"/>
      <c r="E51" s="259"/>
      <c r="F51" s="259"/>
      <c r="G51" s="259"/>
      <c r="H51" s="259"/>
      <c r="I51" s="259"/>
      <c r="J51" s="259"/>
      <c r="K51" s="259"/>
      <c r="L51" s="259"/>
      <c r="M51" s="259"/>
      <c r="O51" s="235"/>
      <c r="P51" s="235"/>
      <c r="Q51" s="235"/>
    </row>
    <row r="52" spans="1:20">
      <c r="B52" s="259"/>
      <c r="C52" s="259"/>
      <c r="D52" s="259"/>
      <c r="E52" s="259"/>
      <c r="F52" s="259"/>
      <c r="G52" s="259"/>
      <c r="H52" s="259"/>
      <c r="I52" s="259"/>
      <c r="J52" s="259"/>
      <c r="K52" s="259"/>
      <c r="L52" s="259"/>
      <c r="M52" s="259"/>
      <c r="N52" s="259"/>
      <c r="O52" s="259"/>
      <c r="P52" s="259"/>
      <c r="Q52" s="259"/>
      <c r="R52" s="259"/>
      <c r="S52" s="259"/>
      <c r="T52" s="259"/>
    </row>
  </sheetData>
  <printOptions horizontalCentered="1" verticalCentered="1"/>
  <pageMargins left="0.25" right="0.25" top="0.75" bottom="0.75" header="0.3" footer="0.3"/>
  <pageSetup scale="87" orientation="landscape"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22AA-E3BB-4D90-B211-3B08136119D3}">
  <dimension ref="B1:H271"/>
  <sheetViews>
    <sheetView topLeftCell="A27" workbookViewId="0">
      <selection activeCell="B45" sqref="B45"/>
    </sheetView>
  </sheetViews>
  <sheetFormatPr defaultColWidth="8.1796875" defaultRowHeight="15.5"/>
  <cols>
    <col min="1" max="1" width="4.81640625" style="422" customWidth="1"/>
    <col min="2" max="2" width="42.7265625" style="422" customWidth="1"/>
    <col min="3" max="3" width="11.26953125" style="422" customWidth="1"/>
    <col min="4" max="4" width="22.1796875" style="422" bestFit="1" customWidth="1"/>
    <col min="5" max="5" width="12.1796875" style="422" customWidth="1"/>
    <col min="6" max="6" width="22.1796875" style="422" bestFit="1" customWidth="1"/>
    <col min="7" max="7" width="11.81640625" style="422" customWidth="1"/>
    <col min="8" max="8" width="11" style="422" customWidth="1"/>
    <col min="9" max="9" width="2" style="422" customWidth="1"/>
    <col min="10" max="16384" width="8.1796875" style="422"/>
  </cols>
  <sheetData>
    <row r="1" spans="2:8">
      <c r="B1" s="538" t="s">
        <v>611</v>
      </c>
      <c r="C1" s="538"/>
      <c r="D1" s="538"/>
      <c r="E1" s="538"/>
      <c r="F1" s="538"/>
      <c r="G1" s="538"/>
      <c r="H1" s="538"/>
    </row>
    <row r="2" spans="2:8">
      <c r="B2" s="539" t="s">
        <v>612</v>
      </c>
      <c r="C2" s="539"/>
      <c r="D2" s="539"/>
      <c r="E2" s="539"/>
      <c r="F2" s="539"/>
      <c r="G2" s="539"/>
      <c r="H2" s="539"/>
    </row>
    <row r="3" spans="2:8" ht="15.75" customHeight="1" thickBot="1"/>
    <row r="4" spans="2:8" s="424" customFormat="1" ht="15">
      <c r="B4" s="423"/>
      <c r="C4" s="532">
        <v>2018</v>
      </c>
      <c r="D4" s="533"/>
      <c r="E4" s="532">
        <v>2019</v>
      </c>
      <c r="F4" s="533"/>
      <c r="G4" s="534" t="s">
        <v>613</v>
      </c>
      <c r="H4" s="535"/>
    </row>
    <row r="5" spans="2:8" s="424" customFormat="1" ht="15">
      <c r="B5" s="425" t="s">
        <v>148</v>
      </c>
      <c r="C5" s="426" t="s">
        <v>614</v>
      </c>
      <c r="D5" s="427" t="s">
        <v>615</v>
      </c>
      <c r="E5" s="426" t="s">
        <v>614</v>
      </c>
      <c r="F5" s="427" t="s">
        <v>615</v>
      </c>
      <c r="G5" s="536"/>
      <c r="H5" s="537"/>
    </row>
    <row r="6" spans="2:8" s="424" customFormat="1">
      <c r="B6" s="428"/>
      <c r="C6" s="426" t="s">
        <v>616</v>
      </c>
      <c r="D6" s="429" t="s">
        <v>617</v>
      </c>
      <c r="E6" s="426" t="s">
        <v>616</v>
      </c>
      <c r="F6" s="429" t="s">
        <v>617</v>
      </c>
      <c r="G6" s="430" t="s">
        <v>618</v>
      </c>
      <c r="H6" s="431" t="s">
        <v>615</v>
      </c>
    </row>
    <row r="7" spans="2:8" ht="6" customHeight="1">
      <c r="B7" s="432"/>
      <c r="C7" s="433"/>
      <c r="D7" s="434"/>
      <c r="E7" s="433"/>
      <c r="F7" s="434"/>
      <c r="G7" s="435"/>
      <c r="H7" s="436"/>
    </row>
    <row r="8" spans="2:8" ht="6" customHeight="1">
      <c r="B8" s="437" t="s">
        <v>47</v>
      </c>
      <c r="C8" s="438" t="s">
        <v>47</v>
      </c>
      <c r="D8" s="439" t="s">
        <v>47</v>
      </c>
      <c r="E8" s="438" t="s">
        <v>47</v>
      </c>
      <c r="F8" s="439" t="s">
        <v>47</v>
      </c>
      <c r="G8" s="438" t="s">
        <v>47</v>
      </c>
      <c r="H8" s="440" t="s">
        <v>47</v>
      </c>
    </row>
    <row r="9" spans="2:8">
      <c r="B9" s="441" t="s">
        <v>619</v>
      </c>
      <c r="C9" s="442">
        <v>243405</v>
      </c>
      <c r="D9" s="443">
        <v>101840860496.189</v>
      </c>
      <c r="E9" s="442">
        <v>210078</v>
      </c>
      <c r="F9" s="443">
        <v>115957519578.468</v>
      </c>
      <c r="G9" s="444">
        <f t="shared" ref="G9:H11" si="0">(E9-C9)/ABS(C9)*100</f>
        <v>-13.69199482344241</v>
      </c>
      <c r="H9" s="445">
        <f t="shared" si="0"/>
        <v>13.861488417811699</v>
      </c>
    </row>
    <row r="10" spans="2:8">
      <c r="B10" s="441" t="s">
        <v>620</v>
      </c>
      <c r="C10" s="446">
        <v>138124</v>
      </c>
      <c r="D10" s="447">
        <v>94886953654.509995</v>
      </c>
      <c r="E10" s="446">
        <v>114683</v>
      </c>
      <c r="F10" s="447">
        <v>107975593719.62801</v>
      </c>
      <c r="G10" s="444">
        <f t="shared" si="0"/>
        <v>-16.970982595349106</v>
      </c>
      <c r="H10" s="445">
        <f t="shared" si="0"/>
        <v>13.793930104210808</v>
      </c>
    </row>
    <row r="11" spans="2:8">
      <c r="B11" s="441" t="s">
        <v>621</v>
      </c>
      <c r="C11" s="446">
        <v>243761</v>
      </c>
      <c r="D11" s="447">
        <v>6953906841.6750002</v>
      </c>
      <c r="E11" s="446">
        <v>208783</v>
      </c>
      <c r="F11" s="447">
        <v>7981925858.8470001</v>
      </c>
      <c r="G11" s="444">
        <f t="shared" si="0"/>
        <v>-14.349301159742534</v>
      </c>
      <c r="H11" s="445">
        <f t="shared" si="0"/>
        <v>14.783330300185316</v>
      </c>
    </row>
    <row r="12" spans="2:8" ht="5.25" customHeight="1">
      <c r="B12" s="441"/>
      <c r="C12" s="448"/>
      <c r="D12" s="447"/>
      <c r="E12" s="448"/>
      <c r="F12" s="447"/>
      <c r="G12" s="449"/>
      <c r="H12" s="450"/>
    </row>
    <row r="13" spans="2:8">
      <c r="B13" s="441" t="s">
        <v>622</v>
      </c>
      <c r="C13" s="446">
        <v>281038</v>
      </c>
      <c r="D13" s="447">
        <v>11490934403.969</v>
      </c>
      <c r="E13" s="446">
        <v>258006</v>
      </c>
      <c r="F13" s="447">
        <v>12388454447.552999</v>
      </c>
      <c r="G13" s="444">
        <f>(E13-C13)/ABS(C13)*100</f>
        <v>-8.1953330154641009</v>
      </c>
      <c r="H13" s="445">
        <f>(F13-D13)/ABS(D13)*100</f>
        <v>7.8106793758564468</v>
      </c>
    </row>
    <row r="14" spans="2:8">
      <c r="B14" s="441" t="s">
        <v>623</v>
      </c>
      <c r="C14" s="446">
        <v>306812</v>
      </c>
      <c r="D14" s="447">
        <v>9374260659.7169991</v>
      </c>
      <c r="E14" s="446">
        <v>305242</v>
      </c>
      <c r="F14" s="447">
        <v>10532107283.322001</v>
      </c>
      <c r="G14" s="444">
        <f>(E14-C14)/ABS(C14)*100</f>
        <v>-0.51171401379346304</v>
      </c>
      <c r="H14" s="445">
        <f>(F14-D14)/ABS(D14)*100</f>
        <v>12.351338048241939</v>
      </c>
    </row>
    <row r="15" spans="2:8" ht="5.25" customHeight="1">
      <c r="B15" s="441"/>
      <c r="C15" s="448"/>
      <c r="D15" s="447"/>
      <c r="E15" s="448"/>
      <c r="F15" s="447"/>
      <c r="G15" s="449"/>
      <c r="H15" s="450"/>
    </row>
    <row r="16" spans="2:8">
      <c r="B16" s="441" t="s">
        <v>624</v>
      </c>
      <c r="C16" s="442">
        <v>303013</v>
      </c>
      <c r="D16" s="451">
        <v>2116673744.312</v>
      </c>
      <c r="E16" s="442">
        <v>303883</v>
      </c>
      <c r="F16" s="447">
        <v>1856347156.925</v>
      </c>
      <c r="G16" s="444">
        <f>(E16-C16)/ABS(C16)*100</f>
        <v>0.28711639434611713</v>
      </c>
      <c r="H16" s="452">
        <f>(F16-D16)/ABS(D16)*100</f>
        <v>-12.298852767771077</v>
      </c>
    </row>
    <row r="17" spans="2:8" ht="3.75" customHeight="1">
      <c r="B17" s="441"/>
      <c r="C17" s="448"/>
      <c r="D17" s="447"/>
      <c r="E17" s="448"/>
      <c r="F17" s="447"/>
      <c r="G17" s="449" t="s">
        <v>47</v>
      </c>
      <c r="H17" s="450" t="s">
        <v>47</v>
      </c>
    </row>
    <row r="18" spans="2:8" ht="13.75" customHeight="1">
      <c r="B18" s="441" t="s">
        <v>625</v>
      </c>
      <c r="C18" s="446">
        <v>302615</v>
      </c>
      <c r="D18" s="447">
        <v>1471608503.1670001</v>
      </c>
      <c r="E18" s="446">
        <v>301237</v>
      </c>
      <c r="F18" s="447">
        <v>1536728421.392</v>
      </c>
      <c r="G18" s="444">
        <f t="shared" ref="G18:H20" si="1">(E18-C18)/ABS(C18)*100</f>
        <v>-0.45536407646679777</v>
      </c>
      <c r="H18" s="445">
        <f t="shared" si="1"/>
        <v>4.4250843947189411</v>
      </c>
    </row>
    <row r="19" spans="2:8">
      <c r="B19" s="441" t="s">
        <v>626</v>
      </c>
      <c r="C19" s="446">
        <v>144584</v>
      </c>
      <c r="D19" s="447">
        <v>373230990.046</v>
      </c>
      <c r="E19" s="446">
        <v>147048</v>
      </c>
      <c r="F19" s="447">
        <v>438425525.20700002</v>
      </c>
      <c r="G19" s="444">
        <f t="shared" si="1"/>
        <v>1.704199634814364</v>
      </c>
      <c r="H19" s="445">
        <f t="shared" si="1"/>
        <v>17.467610380629143</v>
      </c>
    </row>
    <row r="20" spans="2:8">
      <c r="B20" s="441" t="s">
        <v>627</v>
      </c>
      <c r="C20" s="446">
        <v>158031</v>
      </c>
      <c r="D20" s="447">
        <v>1844839493.2130001</v>
      </c>
      <c r="E20" s="446">
        <v>154189</v>
      </c>
      <c r="F20" s="447">
        <v>1975153946.599</v>
      </c>
      <c r="G20" s="444">
        <f t="shared" si="1"/>
        <v>-2.4311685681923167</v>
      </c>
      <c r="H20" s="445">
        <f t="shared" si="1"/>
        <v>7.063728517598153</v>
      </c>
    </row>
    <row r="21" spans="2:8" ht="5.25" customHeight="1">
      <c r="B21" s="453"/>
      <c r="C21" s="454"/>
      <c r="D21" s="455"/>
      <c r="E21" s="454"/>
      <c r="F21" s="447"/>
      <c r="G21" s="456"/>
      <c r="H21" s="457"/>
    </row>
    <row r="22" spans="2:8" ht="12.75" customHeight="1">
      <c r="B22" s="458" t="s">
        <v>628</v>
      </c>
      <c r="C22" s="448"/>
      <c r="D22" s="447"/>
      <c r="E22" s="448"/>
      <c r="F22" s="447"/>
      <c r="G22" s="449"/>
      <c r="H22" s="450"/>
    </row>
    <row r="23" spans="2:8">
      <c r="B23" s="441" t="s">
        <v>629</v>
      </c>
      <c r="C23" s="446">
        <v>2174</v>
      </c>
      <c r="D23" s="447">
        <v>10040043.530999999</v>
      </c>
      <c r="E23" s="446">
        <v>1050</v>
      </c>
      <c r="F23" s="447">
        <v>12180038.747</v>
      </c>
      <c r="G23" s="444">
        <f>(E23-C23)/ABS(C23)*100</f>
        <v>-51.701931922723091</v>
      </c>
      <c r="H23" s="445">
        <f>(F23-D23)/ABS(D23)*100</f>
        <v>21.314600971524413</v>
      </c>
    </row>
    <row r="24" spans="2:8">
      <c r="B24" s="441" t="s">
        <v>630</v>
      </c>
      <c r="C24" s="446">
        <v>57940</v>
      </c>
      <c r="D24" s="447">
        <v>1450587437.381</v>
      </c>
      <c r="E24" s="446">
        <v>52031</v>
      </c>
      <c r="F24" s="447">
        <v>1495828546.369</v>
      </c>
      <c r="G24" s="444">
        <f>(E24-C24)/ABS(C24)*100</f>
        <v>-10.198481187435277</v>
      </c>
      <c r="H24" s="445">
        <f>(F24-D24)/ABS(D24)*100</f>
        <v>3.1188129596435514</v>
      </c>
    </row>
    <row r="25" spans="2:8" ht="6" customHeight="1">
      <c r="B25" s="441"/>
      <c r="C25" s="448"/>
      <c r="D25" s="447"/>
      <c r="E25" s="448"/>
      <c r="F25" s="447"/>
      <c r="G25" s="449"/>
      <c r="H25" s="450"/>
    </row>
    <row r="26" spans="2:8" ht="15" customHeight="1">
      <c r="B26" s="441" t="s">
        <v>631</v>
      </c>
      <c r="C26" s="459">
        <v>1176</v>
      </c>
      <c r="D26" s="447">
        <v>177522.995</v>
      </c>
      <c r="E26" s="459">
        <v>1028</v>
      </c>
      <c r="F26" s="447">
        <v>683205.73199999996</v>
      </c>
      <c r="G26" s="444">
        <f>(E26-C26)/ABS(C26)*100</f>
        <v>-12.585034013605442</v>
      </c>
      <c r="H26" s="452">
        <f>(F26-D26)/ABS(D26)*100</f>
        <v>284.85478008074392</v>
      </c>
    </row>
    <row r="27" spans="2:8" ht="13.75" customHeight="1">
      <c r="B27" s="441" t="s">
        <v>632</v>
      </c>
      <c r="C27" s="446">
        <v>45575</v>
      </c>
      <c r="D27" s="447">
        <v>90017963.084000006</v>
      </c>
      <c r="E27" s="446">
        <v>41165</v>
      </c>
      <c r="F27" s="447">
        <v>97054372.001000002</v>
      </c>
      <c r="G27" s="444">
        <f>(E27-C27)/ABS(C27)*100</f>
        <v>-9.6763576522216113</v>
      </c>
      <c r="H27" s="445">
        <f>(F27-D27)/ABS(D27)*100</f>
        <v>7.8166720018247817</v>
      </c>
    </row>
    <row r="28" spans="2:8" ht="6" customHeight="1">
      <c r="B28" s="441"/>
      <c r="C28" s="448"/>
      <c r="D28" s="447"/>
      <c r="E28" s="448"/>
      <c r="F28" s="447"/>
      <c r="G28" s="449"/>
      <c r="H28" s="450"/>
    </row>
    <row r="29" spans="2:8">
      <c r="B29" s="441" t="s">
        <v>633</v>
      </c>
      <c r="C29" s="446">
        <v>43567</v>
      </c>
      <c r="D29" s="447">
        <v>100713009.68799999</v>
      </c>
      <c r="E29" s="446">
        <v>38425</v>
      </c>
      <c r="F29" s="447">
        <v>117269870.78200001</v>
      </c>
      <c r="G29" s="444">
        <f>(E29-C29)/ABS(C29)*100</f>
        <v>-11.802511074896136</v>
      </c>
      <c r="H29" s="445">
        <f>(F29-D29)/ABS(D29)*100</f>
        <v>16.439644833663202</v>
      </c>
    </row>
    <row r="30" spans="2:8" ht="31">
      <c r="B30" s="441" t="s">
        <v>634</v>
      </c>
      <c r="C30" s="446">
        <v>290349</v>
      </c>
      <c r="D30" s="447">
        <v>-14282155.772</v>
      </c>
      <c r="E30" s="446">
        <v>295775</v>
      </c>
      <c r="F30" s="447">
        <v>-15788405.939999999</v>
      </c>
      <c r="G30" s="444">
        <f>(E30-C30)/ABS(C30)*100</f>
        <v>1.8687854960754127</v>
      </c>
      <c r="H30" s="445">
        <f>(F30-D30)/ABS(D30)*100</f>
        <v>-10.54637823621127</v>
      </c>
    </row>
    <row r="31" spans="2:8" ht="6" customHeight="1">
      <c r="B31" s="441"/>
      <c r="C31" s="448"/>
      <c r="D31" s="447"/>
      <c r="E31" s="448"/>
      <c r="F31" s="447"/>
      <c r="G31" s="449"/>
      <c r="H31" s="450"/>
    </row>
    <row r="32" spans="2:8" ht="15.75" customHeight="1">
      <c r="B32" s="458" t="s">
        <v>635</v>
      </c>
      <c r="C32" s="446">
        <v>333916</v>
      </c>
      <c r="D32" s="447">
        <v>86430853.915999994</v>
      </c>
      <c r="E32" s="446">
        <v>334200</v>
      </c>
      <c r="F32" s="447">
        <v>101481464.84199999</v>
      </c>
      <c r="G32" s="444">
        <f t="shared" ref="G32:H36" si="2">(E32-C32)/ABS(C32)*100</f>
        <v>8.5051330274679857E-2</v>
      </c>
      <c r="H32" s="445">
        <f t="shared" si="2"/>
        <v>17.413470125642071</v>
      </c>
    </row>
    <row r="33" spans="2:8">
      <c r="B33" s="441" t="s">
        <v>636</v>
      </c>
      <c r="C33" s="446">
        <v>181727</v>
      </c>
      <c r="D33" s="447">
        <v>67991014.851999998</v>
      </c>
      <c r="E33" s="446">
        <v>181966</v>
      </c>
      <c r="F33" s="447">
        <v>79090442.594999999</v>
      </c>
      <c r="G33" s="444">
        <f t="shared" si="2"/>
        <v>0.13151595525155865</v>
      </c>
      <c r="H33" s="445">
        <f t="shared" si="2"/>
        <v>16.324844933055893</v>
      </c>
    </row>
    <row r="34" spans="2:8">
      <c r="B34" s="441" t="s">
        <v>637</v>
      </c>
      <c r="C34" s="446">
        <v>152190</v>
      </c>
      <c r="D34" s="447">
        <v>154421868.76800001</v>
      </c>
      <c r="E34" s="446">
        <v>152234</v>
      </c>
      <c r="F34" s="447">
        <v>180571907.43700001</v>
      </c>
      <c r="G34" s="444">
        <f t="shared" si="2"/>
        <v>2.8911229384322227E-2</v>
      </c>
      <c r="H34" s="445">
        <f t="shared" si="2"/>
        <v>16.934155037514305</v>
      </c>
    </row>
    <row r="35" spans="2:8">
      <c r="B35" s="441" t="s">
        <v>638</v>
      </c>
      <c r="C35" s="446">
        <v>52184</v>
      </c>
      <c r="D35" s="447">
        <v>18473960.276999999</v>
      </c>
      <c r="E35" s="446">
        <v>47056</v>
      </c>
      <c r="F35" s="447">
        <v>17468611.191</v>
      </c>
      <c r="G35" s="444">
        <f t="shared" si="2"/>
        <v>-9.8267668250804832</v>
      </c>
      <c r="H35" s="445">
        <f t="shared" si="2"/>
        <v>-5.441979255805018</v>
      </c>
    </row>
    <row r="36" spans="2:8" ht="13.75" customHeight="1">
      <c r="B36" s="441" t="s">
        <v>639</v>
      </c>
      <c r="C36" s="446">
        <v>333916</v>
      </c>
      <c r="D36" s="447">
        <v>67956893.650000006</v>
      </c>
      <c r="E36" s="446">
        <v>334195</v>
      </c>
      <c r="F36" s="447">
        <v>84012853.650000006</v>
      </c>
      <c r="G36" s="444">
        <f t="shared" si="2"/>
        <v>8.3553947699421413E-2</v>
      </c>
      <c r="H36" s="452">
        <f t="shared" si="2"/>
        <v>23.626683236425418</v>
      </c>
    </row>
    <row r="37" spans="2:8" ht="6.75" customHeight="1">
      <c r="B37" s="441" t="s">
        <v>47</v>
      </c>
      <c r="C37" s="448"/>
      <c r="D37" s="447"/>
      <c r="E37" s="448"/>
      <c r="F37" s="447"/>
      <c r="G37" s="449" t="s">
        <v>47</v>
      </c>
      <c r="H37" s="450" t="s">
        <v>47</v>
      </c>
    </row>
    <row r="38" spans="2:8" ht="31">
      <c r="B38" s="441" t="s">
        <v>640</v>
      </c>
      <c r="C38" s="446">
        <v>333915</v>
      </c>
      <c r="D38" s="447">
        <v>12682720.968</v>
      </c>
      <c r="E38" s="446">
        <v>334199</v>
      </c>
      <c r="F38" s="447">
        <v>15152123.458000001</v>
      </c>
      <c r="G38" s="444">
        <f t="shared" ref="G38:H41" si="3">(E38-C38)/ABS(C38)*100</f>
        <v>8.5051584984202566E-2</v>
      </c>
      <c r="H38" s="445">
        <f t="shared" si="3"/>
        <v>19.470604898038786</v>
      </c>
    </row>
    <row r="39" spans="2:8" ht="15.75" customHeight="1">
      <c r="B39" s="441" t="s">
        <v>641</v>
      </c>
      <c r="C39" s="446">
        <v>4027</v>
      </c>
      <c r="D39" s="447">
        <v>2884922.2820000001</v>
      </c>
      <c r="E39" s="446">
        <v>4490</v>
      </c>
      <c r="F39" s="447">
        <v>3123663.1349999998</v>
      </c>
      <c r="G39" s="444">
        <f t="shared" si="3"/>
        <v>11.497392599950334</v>
      </c>
      <c r="H39" s="445">
        <f t="shared" si="3"/>
        <v>8.2754691344575928</v>
      </c>
    </row>
    <row r="40" spans="2:8">
      <c r="B40" s="441" t="s">
        <v>642</v>
      </c>
      <c r="C40" s="446">
        <v>4067</v>
      </c>
      <c r="D40" s="447">
        <v>188222.67300000001</v>
      </c>
      <c r="E40" s="446">
        <v>2961</v>
      </c>
      <c r="F40" s="447">
        <v>133879.65700000001</v>
      </c>
      <c r="G40" s="444">
        <f t="shared" si="3"/>
        <v>-27.19449225473322</v>
      </c>
      <c r="H40" s="445">
        <f t="shared" si="3"/>
        <v>-28.871663085987521</v>
      </c>
    </row>
    <row r="41" spans="2:8">
      <c r="B41" s="458" t="s">
        <v>643</v>
      </c>
      <c r="C41" s="460">
        <v>333916</v>
      </c>
      <c r="D41" s="461">
        <v>9986021.3599999994</v>
      </c>
      <c r="E41" s="460">
        <v>334200</v>
      </c>
      <c r="F41" s="461">
        <v>12162339.979</v>
      </c>
      <c r="G41" s="462">
        <f t="shared" si="3"/>
        <v>8.5051330274679857E-2</v>
      </c>
      <c r="H41" s="463">
        <f t="shared" si="3"/>
        <v>21.793650749811743</v>
      </c>
    </row>
    <row r="42" spans="2:8" ht="10" customHeight="1" thickBot="1">
      <c r="B42" s="464"/>
      <c r="C42" s="465"/>
      <c r="D42" s="466"/>
      <c r="E42" s="465"/>
      <c r="F42" s="466"/>
      <c r="G42" s="465"/>
      <c r="H42" s="467"/>
    </row>
    <row r="43" spans="2:8">
      <c r="B43" s="468"/>
    </row>
    <row r="44" spans="2:8">
      <c r="B44" s="538" t="s">
        <v>644</v>
      </c>
      <c r="C44" s="538"/>
      <c r="D44" s="538"/>
      <c r="E44" s="538"/>
      <c r="F44" s="538"/>
      <c r="G44" s="538"/>
      <c r="H44" s="538"/>
    </row>
    <row r="45" spans="2:8">
      <c r="B45" s="531" t="s">
        <v>645</v>
      </c>
      <c r="C45" s="531"/>
      <c r="D45" s="531"/>
      <c r="E45" s="531"/>
      <c r="F45" s="531"/>
      <c r="G45" s="531"/>
      <c r="H45" s="531"/>
    </row>
    <row r="46" spans="2:8" ht="13.75" customHeight="1" thickBot="1">
      <c r="B46" s="468"/>
    </row>
    <row r="47" spans="2:8" s="424" customFormat="1" ht="15">
      <c r="B47" s="423"/>
      <c r="C47" s="532">
        <v>2018</v>
      </c>
      <c r="D47" s="533"/>
      <c r="E47" s="532">
        <v>2019</v>
      </c>
      <c r="F47" s="533"/>
      <c r="G47" s="534" t="s">
        <v>613</v>
      </c>
      <c r="H47" s="535"/>
    </row>
    <row r="48" spans="2:8" s="424" customFormat="1" ht="15">
      <c r="B48" s="425" t="s">
        <v>148</v>
      </c>
      <c r="C48" s="426" t="s">
        <v>614</v>
      </c>
      <c r="D48" s="427" t="s">
        <v>615</v>
      </c>
      <c r="E48" s="426" t="s">
        <v>614</v>
      </c>
      <c r="F48" s="427" t="s">
        <v>615</v>
      </c>
      <c r="G48" s="536"/>
      <c r="H48" s="537"/>
    </row>
    <row r="49" spans="2:8" s="424" customFormat="1">
      <c r="B49" s="428"/>
      <c r="C49" s="426" t="s">
        <v>616</v>
      </c>
      <c r="D49" s="429" t="s">
        <v>617</v>
      </c>
      <c r="E49" s="426" t="s">
        <v>616</v>
      </c>
      <c r="F49" s="429" t="s">
        <v>617</v>
      </c>
      <c r="G49" s="430" t="s">
        <v>618</v>
      </c>
      <c r="H49" s="431" t="s">
        <v>615</v>
      </c>
    </row>
    <row r="50" spans="2:8" ht="6" customHeight="1">
      <c r="B50" s="432"/>
      <c r="C50" s="433"/>
      <c r="D50" s="434"/>
      <c r="E50" s="433"/>
      <c r="F50" s="434"/>
      <c r="G50" s="435"/>
      <c r="H50" s="436"/>
    </row>
    <row r="51" spans="2:8" ht="6" customHeight="1">
      <c r="B51" s="437" t="s">
        <v>47</v>
      </c>
      <c r="C51" s="438" t="s">
        <v>47</v>
      </c>
      <c r="D51" s="438" t="s">
        <v>47</v>
      </c>
      <c r="E51" s="438" t="s">
        <v>47</v>
      </c>
      <c r="F51" s="438" t="s">
        <v>47</v>
      </c>
      <c r="G51" s="438" t="s">
        <v>47</v>
      </c>
      <c r="H51" s="440" t="s">
        <v>47</v>
      </c>
    </row>
    <row r="52" spans="2:8">
      <c r="B52" s="441" t="s">
        <v>619</v>
      </c>
      <c r="C52" s="442">
        <v>557324</v>
      </c>
      <c r="D52" s="469">
        <v>3310597890.23</v>
      </c>
      <c r="E52" s="442">
        <v>545295</v>
      </c>
      <c r="F52" s="469">
        <v>2585950557.4460001</v>
      </c>
      <c r="G52" s="444">
        <f t="shared" ref="G52:H54" si="4">(E52-C52)/ABS(C52)*100</f>
        <v>-2.1583495417387373</v>
      </c>
      <c r="H52" s="445">
        <f t="shared" si="4"/>
        <v>-21.888714873000051</v>
      </c>
    </row>
    <row r="53" spans="2:8">
      <c r="B53" s="441" t="s">
        <v>620</v>
      </c>
      <c r="C53" s="446">
        <v>284600</v>
      </c>
      <c r="D53" s="447">
        <v>2012435619.142</v>
      </c>
      <c r="E53" s="446">
        <v>277660</v>
      </c>
      <c r="F53" s="447">
        <v>1582577642.4949999</v>
      </c>
      <c r="G53" s="444">
        <f t="shared" si="4"/>
        <v>-2.4385101897399859</v>
      </c>
      <c r="H53" s="445">
        <f t="shared" si="4"/>
        <v>-21.360085885891326</v>
      </c>
    </row>
    <row r="54" spans="2:8">
      <c r="B54" s="441" t="s">
        <v>621</v>
      </c>
      <c r="C54" s="446">
        <v>558599</v>
      </c>
      <c r="D54" s="447">
        <v>1298162271.086</v>
      </c>
      <c r="E54" s="446">
        <v>544727</v>
      </c>
      <c r="F54" s="447">
        <v>1003372914.95</v>
      </c>
      <c r="G54" s="444">
        <f t="shared" si="4"/>
        <v>-2.4833556809088453</v>
      </c>
      <c r="H54" s="445">
        <f t="shared" si="4"/>
        <v>-22.708205491859566</v>
      </c>
    </row>
    <row r="55" spans="2:8" ht="8.25" customHeight="1">
      <c r="B55" s="441"/>
      <c r="C55" s="448"/>
      <c r="D55" s="447"/>
      <c r="E55" s="448"/>
      <c r="F55" s="447"/>
      <c r="G55" s="449"/>
      <c r="H55" s="450"/>
    </row>
    <row r="56" spans="2:8">
      <c r="B56" s="441" t="s">
        <v>622</v>
      </c>
      <c r="C56" s="446">
        <v>582126</v>
      </c>
      <c r="D56" s="447">
        <v>1371823595.642</v>
      </c>
      <c r="E56" s="446">
        <v>565408</v>
      </c>
      <c r="F56" s="447">
        <v>1066720644.234</v>
      </c>
      <c r="G56" s="444">
        <f>(E56-C56)/ABS(C56)*100</f>
        <v>-2.8718868423674602</v>
      </c>
      <c r="H56" s="445">
        <f>(F56-D56)/ABS(D56)*100</f>
        <v>-22.240684033810833</v>
      </c>
    </row>
    <row r="57" spans="2:8">
      <c r="B57" s="441" t="s">
        <v>623</v>
      </c>
      <c r="C57" s="446">
        <v>611673</v>
      </c>
      <c r="D57" s="447">
        <v>1209713123.973</v>
      </c>
      <c r="E57" s="446">
        <v>637209</v>
      </c>
      <c r="F57" s="447">
        <v>929369207.38300002</v>
      </c>
      <c r="G57" s="444">
        <f>(E57-C57)/ABS(C57)*100</f>
        <v>4.1747796616819777</v>
      </c>
      <c r="H57" s="445">
        <f>(F57-D57)/ABS(D57)*100</f>
        <v>-23.174413093021641</v>
      </c>
    </row>
    <row r="58" spans="2:8" ht="6.75" customHeight="1">
      <c r="B58" s="441"/>
      <c r="C58" s="448"/>
      <c r="D58" s="447"/>
      <c r="E58" s="448"/>
      <c r="F58" s="447"/>
      <c r="G58" s="449"/>
      <c r="H58" s="450"/>
    </row>
    <row r="59" spans="2:8">
      <c r="B59" s="441" t="s">
        <v>624</v>
      </c>
      <c r="C59" s="442">
        <v>613181</v>
      </c>
      <c r="D59" s="447">
        <v>162110472.47400001</v>
      </c>
      <c r="E59" s="442">
        <v>640220</v>
      </c>
      <c r="F59" s="447">
        <v>137351435.755</v>
      </c>
      <c r="G59" s="444">
        <f>(E59-C59)/ABS(C59)*100</f>
        <v>4.4096278260415769</v>
      </c>
      <c r="H59" s="445">
        <f>(F59-D59)/ABS(D59)*100</f>
        <v>-15.272940940302901</v>
      </c>
    </row>
    <row r="60" spans="2:8" ht="6" customHeight="1">
      <c r="B60" s="441"/>
      <c r="C60" s="448"/>
      <c r="D60" s="447"/>
      <c r="E60" s="448"/>
      <c r="F60" s="447"/>
      <c r="G60" s="449" t="s">
        <v>47</v>
      </c>
      <c r="H60" s="450" t="s">
        <v>47</v>
      </c>
    </row>
    <row r="61" spans="2:8">
      <c r="B61" s="441" t="s">
        <v>625</v>
      </c>
      <c r="C61" s="446">
        <v>616930</v>
      </c>
      <c r="D61" s="447">
        <v>263677391.20100001</v>
      </c>
      <c r="E61" s="446">
        <v>643511</v>
      </c>
      <c r="F61" s="447">
        <v>607163509.96899998</v>
      </c>
      <c r="G61" s="444">
        <f t="shared" ref="G61:H63" si="5">(E61-C61)/ABS(C61)*100</f>
        <v>4.3085925469664303</v>
      </c>
      <c r="H61" s="445">
        <f t="shared" si="5"/>
        <v>130.26756568073074</v>
      </c>
    </row>
    <row r="62" spans="2:8">
      <c r="B62" s="441" t="s">
        <v>626</v>
      </c>
      <c r="C62" s="446">
        <v>170791</v>
      </c>
      <c r="D62" s="447">
        <v>19978871.84</v>
      </c>
      <c r="E62" s="446">
        <v>179037</v>
      </c>
      <c r="F62" s="447">
        <v>20467210.611000001</v>
      </c>
      <c r="G62" s="444">
        <f t="shared" si="5"/>
        <v>4.8281232617643788</v>
      </c>
      <c r="H62" s="445">
        <f t="shared" si="5"/>
        <v>2.4442760077287806</v>
      </c>
    </row>
    <row r="63" spans="2:8">
      <c r="B63" s="441" t="s">
        <v>627</v>
      </c>
      <c r="C63" s="446">
        <v>446139</v>
      </c>
      <c r="D63" s="447">
        <v>283656263.04100001</v>
      </c>
      <c r="E63" s="446">
        <v>464474</v>
      </c>
      <c r="F63" s="447">
        <v>627630720.58000004</v>
      </c>
      <c r="G63" s="444">
        <f t="shared" si="5"/>
        <v>4.1097057195179083</v>
      </c>
      <c r="H63" s="445">
        <f t="shared" si="5"/>
        <v>121.26453823065475</v>
      </c>
    </row>
    <row r="64" spans="2:8" ht="5.25" customHeight="1">
      <c r="B64" s="453"/>
      <c r="C64" s="454"/>
      <c r="D64" s="447"/>
      <c r="E64" s="454"/>
      <c r="F64" s="447"/>
      <c r="G64" s="456"/>
      <c r="H64" s="457"/>
    </row>
    <row r="65" spans="2:8">
      <c r="B65" s="458" t="s">
        <v>628</v>
      </c>
      <c r="C65" s="448"/>
      <c r="D65" s="447"/>
      <c r="E65" s="448"/>
      <c r="F65" s="447"/>
      <c r="G65" s="449"/>
      <c r="H65" s="450"/>
    </row>
    <row r="66" spans="2:8">
      <c r="B66" s="441" t="s">
        <v>629</v>
      </c>
      <c r="C66" s="446">
        <v>2972</v>
      </c>
      <c r="D66" s="447">
        <v>7571030.5650000004</v>
      </c>
      <c r="E66" s="446">
        <v>3217</v>
      </c>
      <c r="F66" s="447">
        <v>3654317.7409999999</v>
      </c>
      <c r="G66" s="444">
        <f>(E66-C66)/ABS(C66)*100</f>
        <v>8.243606998654105</v>
      </c>
      <c r="H66" s="445">
        <f>(F66-D66)/ABS(D66)*100</f>
        <v>-51.732888810494458</v>
      </c>
    </row>
    <row r="67" spans="2:8">
      <c r="B67" s="441" t="s">
        <v>630</v>
      </c>
      <c r="C67" s="446">
        <v>51914</v>
      </c>
      <c r="D67" s="447">
        <v>190400067.68900001</v>
      </c>
      <c r="E67" s="446">
        <v>59801</v>
      </c>
      <c r="F67" s="447">
        <v>534907835.86400002</v>
      </c>
      <c r="G67" s="444">
        <f>(E67-C67)/ABS(C67)*100</f>
        <v>15.192433640251185</v>
      </c>
      <c r="H67" s="445">
        <f>(F67-D67)/ABS(D67)*100</f>
        <v>180.93888954793857</v>
      </c>
    </row>
    <row r="68" spans="2:8" ht="9" customHeight="1">
      <c r="B68" s="441"/>
      <c r="C68" s="448"/>
      <c r="D68" s="447"/>
      <c r="E68" s="448"/>
      <c r="F68" s="447"/>
      <c r="G68" s="449"/>
      <c r="H68" s="450"/>
    </row>
    <row r="69" spans="2:8">
      <c r="B69" s="441" t="s">
        <v>631</v>
      </c>
      <c r="C69" s="459">
        <v>2191</v>
      </c>
      <c r="D69" s="447">
        <v>1208570.575</v>
      </c>
      <c r="E69" s="459">
        <v>2047</v>
      </c>
      <c r="F69" s="470">
        <v>579553.59900000005</v>
      </c>
      <c r="G69" s="444">
        <f>(E69-C69)/ABS(C69)*100</f>
        <v>-6.572341396622547</v>
      </c>
      <c r="H69" s="445">
        <f>(F69-D69)/ABS(D69)*100</f>
        <v>-52.046358649762745</v>
      </c>
    </row>
    <row r="70" spans="2:8">
      <c r="B70" s="441" t="s">
        <v>632</v>
      </c>
      <c r="C70" s="446">
        <v>41814</v>
      </c>
      <c r="D70" s="447">
        <v>22762414.401000001</v>
      </c>
      <c r="E70" s="446">
        <v>50959</v>
      </c>
      <c r="F70" s="447">
        <v>22574329.359000001</v>
      </c>
      <c r="G70" s="444">
        <f>(E70-C70)/ABS(C70)*100</f>
        <v>21.870665327402307</v>
      </c>
      <c r="H70" s="445">
        <f>(F70-D70)/ABS(D70)*100</f>
        <v>-0.82629653729411268</v>
      </c>
    </row>
    <row r="71" spans="2:8" ht="6.75" customHeight="1">
      <c r="B71" s="441"/>
      <c r="C71" s="448"/>
      <c r="D71" s="447"/>
      <c r="E71" s="448"/>
      <c r="F71" s="447"/>
      <c r="G71" s="449"/>
      <c r="H71" s="450"/>
    </row>
    <row r="72" spans="2:8">
      <c r="B72" s="441" t="s">
        <v>633</v>
      </c>
      <c r="C72" s="446">
        <v>40770</v>
      </c>
      <c r="D72" s="447">
        <v>22951271.920000002</v>
      </c>
      <c r="E72" s="446">
        <v>48993</v>
      </c>
      <c r="F72" s="447">
        <v>22764739.932999998</v>
      </c>
      <c r="G72" s="444">
        <f>(E72-C72)/ABS(C72)*100</f>
        <v>20.169242089771892</v>
      </c>
      <c r="H72" s="445">
        <f>(F72-D72)/ABS(D72)*100</f>
        <v>-0.81273049986156698</v>
      </c>
    </row>
    <row r="73" spans="2:8" ht="31">
      <c r="B73" s="441" t="s">
        <v>634</v>
      </c>
      <c r="C73" s="446">
        <v>599966</v>
      </c>
      <c r="D73" s="447">
        <v>63572297.729999997</v>
      </c>
      <c r="E73" s="446">
        <v>620196</v>
      </c>
      <c r="F73" s="447">
        <v>67374714.914000005</v>
      </c>
      <c r="G73" s="444">
        <f>(E73-C73)/ABS(C73)*100</f>
        <v>3.3718577386051876</v>
      </c>
      <c r="H73" s="445">
        <f>(F73-D73)/ABS(D73)*100</f>
        <v>5.9812486252256907</v>
      </c>
    </row>
    <row r="74" spans="2:8" ht="6.75" customHeight="1">
      <c r="B74" s="441"/>
      <c r="C74" s="448"/>
      <c r="D74" s="447"/>
      <c r="E74" s="448"/>
      <c r="F74" s="447"/>
      <c r="G74" s="449"/>
      <c r="H74" s="450"/>
    </row>
    <row r="75" spans="2:8" ht="30.5">
      <c r="B75" s="458" t="s">
        <v>635</v>
      </c>
      <c r="C75" s="446">
        <v>640736</v>
      </c>
      <c r="D75" s="447">
        <v>86523569.650000006</v>
      </c>
      <c r="E75" s="446">
        <v>669189</v>
      </c>
      <c r="F75" s="447">
        <v>90139454.847000003</v>
      </c>
      <c r="G75" s="444">
        <f t="shared" ref="G75:H79" si="6">(E75-C75)/ABS(C75)*100</f>
        <v>4.4406744743544921</v>
      </c>
      <c r="H75" s="445">
        <f t="shared" si="6"/>
        <v>4.1790753798378413</v>
      </c>
    </row>
    <row r="76" spans="2:8">
      <c r="B76" s="441" t="s">
        <v>636</v>
      </c>
      <c r="C76" s="446">
        <v>205210</v>
      </c>
      <c r="D76" s="447">
        <v>12751225.643999999</v>
      </c>
      <c r="E76" s="446">
        <v>212679</v>
      </c>
      <c r="F76" s="447">
        <v>13242470.210999999</v>
      </c>
      <c r="G76" s="444">
        <f t="shared" si="6"/>
        <v>3.6396861751376637</v>
      </c>
      <c r="H76" s="445">
        <f t="shared" si="6"/>
        <v>3.8525282252467354</v>
      </c>
    </row>
    <row r="77" spans="2:8">
      <c r="B77" s="441" t="s">
        <v>637</v>
      </c>
      <c r="C77" s="446">
        <v>435526</v>
      </c>
      <c r="D77" s="447">
        <v>99274795.294</v>
      </c>
      <c r="E77" s="446">
        <v>456509</v>
      </c>
      <c r="F77" s="447">
        <v>103381925.058</v>
      </c>
      <c r="G77" s="444">
        <f t="shared" si="6"/>
        <v>4.8178524359050892</v>
      </c>
      <c r="H77" s="445">
        <f t="shared" si="6"/>
        <v>4.1371324431713301</v>
      </c>
    </row>
    <row r="78" spans="2:8">
      <c r="B78" s="441" t="s">
        <v>646</v>
      </c>
      <c r="C78" s="446">
        <v>70460</v>
      </c>
      <c r="D78" s="447">
        <v>4317538</v>
      </c>
      <c r="E78" s="446">
        <v>61038</v>
      </c>
      <c r="F78" s="447">
        <v>4001443.077</v>
      </c>
      <c r="G78" s="444">
        <f t="shared" si="6"/>
        <v>-13.372126028952596</v>
      </c>
      <c r="H78" s="445">
        <f t="shared" si="6"/>
        <v>-7.3211845037611702</v>
      </c>
    </row>
    <row r="79" spans="2:8">
      <c r="B79" s="441" t="s">
        <v>647</v>
      </c>
      <c r="C79" s="446">
        <v>640736</v>
      </c>
      <c r="D79" s="447">
        <v>82206031.650000006</v>
      </c>
      <c r="E79" s="446">
        <v>669178</v>
      </c>
      <c r="F79" s="447">
        <v>86138011.769999996</v>
      </c>
      <c r="G79" s="444">
        <f t="shared" si="6"/>
        <v>4.438957698646556</v>
      </c>
      <c r="H79" s="445">
        <f t="shared" si="6"/>
        <v>4.7830798313446987</v>
      </c>
    </row>
    <row r="80" spans="2:8" ht="6.75" customHeight="1">
      <c r="B80" s="441" t="s">
        <v>47</v>
      </c>
      <c r="C80" s="448"/>
      <c r="D80" s="447"/>
      <c r="E80" s="448"/>
      <c r="F80" s="447"/>
      <c r="G80" s="449" t="s">
        <v>47</v>
      </c>
      <c r="H80" s="450" t="s">
        <v>47</v>
      </c>
    </row>
    <row r="81" spans="2:8" ht="31">
      <c r="B81" s="441" t="s">
        <v>640</v>
      </c>
      <c r="C81" s="446">
        <v>640736</v>
      </c>
      <c r="D81" s="447">
        <v>1704495.47</v>
      </c>
      <c r="E81" s="446">
        <v>669189</v>
      </c>
      <c r="F81" s="447">
        <v>1777246.2609999999</v>
      </c>
      <c r="G81" s="444">
        <f t="shared" ref="G81:H84" si="7">(E81-C81)/ABS(C81)*100</f>
        <v>4.4406744743544921</v>
      </c>
      <c r="H81" s="445">
        <f t="shared" si="7"/>
        <v>4.2681715663345221</v>
      </c>
    </row>
    <row r="82" spans="2:8">
      <c r="B82" s="441" t="s">
        <v>641</v>
      </c>
      <c r="C82" s="446">
        <v>6894</v>
      </c>
      <c r="D82" s="447">
        <v>80586.342999999993</v>
      </c>
      <c r="E82" s="446">
        <v>6090</v>
      </c>
      <c r="F82" s="447">
        <v>89787.554999999993</v>
      </c>
      <c r="G82" s="444">
        <f t="shared" si="7"/>
        <v>-11.662315056570931</v>
      </c>
      <c r="H82" s="445">
        <f t="shared" si="7"/>
        <v>11.417830438092965</v>
      </c>
    </row>
    <row r="83" spans="2:8">
      <c r="B83" s="441" t="s">
        <v>642</v>
      </c>
      <c r="C83" s="446"/>
      <c r="D83" s="447"/>
      <c r="E83" s="446"/>
      <c r="F83" s="447"/>
      <c r="G83" s="444"/>
      <c r="H83" s="445"/>
    </row>
    <row r="84" spans="2:8">
      <c r="B84" s="458" t="s">
        <v>643</v>
      </c>
      <c r="C84" s="460">
        <v>640736</v>
      </c>
      <c r="D84" s="461">
        <v>1638906.6869999999</v>
      </c>
      <c r="E84" s="460">
        <v>669189</v>
      </c>
      <c r="F84" s="461">
        <v>1698894.273</v>
      </c>
      <c r="G84" s="462">
        <f t="shared" si="7"/>
        <v>4.4406744743544921</v>
      </c>
      <c r="H84" s="463">
        <f t="shared" si="7"/>
        <v>3.6602197352557466</v>
      </c>
    </row>
    <row r="85" spans="2:8" ht="6.75" customHeight="1" thickBot="1">
      <c r="B85" s="464"/>
      <c r="C85" s="465"/>
      <c r="D85" s="466"/>
      <c r="E85" s="465"/>
      <c r="F85" s="466"/>
      <c r="G85" s="465"/>
      <c r="H85" s="467"/>
    </row>
    <row r="86" spans="2:8">
      <c r="B86" s="468"/>
    </row>
    <row r="87" spans="2:8">
      <c r="B87" s="468"/>
    </row>
    <row r="88" spans="2:8">
      <c r="B88" s="468"/>
    </row>
    <row r="89" spans="2:8">
      <c r="B89" s="468"/>
    </row>
    <row r="90" spans="2:8">
      <c r="B90" s="468"/>
    </row>
    <row r="91" spans="2:8">
      <c r="B91" s="468"/>
    </row>
    <row r="92" spans="2:8">
      <c r="B92" s="468"/>
    </row>
    <row r="93" spans="2:8">
      <c r="B93" s="468"/>
    </row>
    <row r="94" spans="2:8">
      <c r="B94" s="468"/>
    </row>
    <row r="95" spans="2:8">
      <c r="B95" s="468"/>
    </row>
    <row r="96" spans="2:8">
      <c r="B96" s="468"/>
    </row>
    <row r="97" spans="2:2">
      <c r="B97" s="468"/>
    </row>
    <row r="98" spans="2:2">
      <c r="B98" s="468"/>
    </row>
    <row r="99" spans="2:2">
      <c r="B99" s="468"/>
    </row>
    <row r="100" spans="2:2">
      <c r="B100" s="468"/>
    </row>
    <row r="101" spans="2:2">
      <c r="B101" s="468"/>
    </row>
    <row r="102" spans="2:2">
      <c r="B102" s="468"/>
    </row>
    <row r="103" spans="2:2">
      <c r="B103" s="468"/>
    </row>
    <row r="104" spans="2:2">
      <c r="B104" s="468"/>
    </row>
    <row r="105" spans="2:2">
      <c r="B105" s="468"/>
    </row>
    <row r="106" spans="2:2">
      <c r="B106" s="468"/>
    </row>
    <row r="107" spans="2:2">
      <c r="B107" s="468"/>
    </row>
    <row r="108" spans="2:2">
      <c r="B108" s="468"/>
    </row>
    <row r="109" spans="2:2">
      <c r="B109" s="468"/>
    </row>
    <row r="110" spans="2:2">
      <c r="B110" s="468"/>
    </row>
    <row r="111" spans="2:2">
      <c r="B111" s="468"/>
    </row>
    <row r="112" spans="2:2">
      <c r="B112" s="468"/>
    </row>
    <row r="113" spans="2:2">
      <c r="B113" s="468"/>
    </row>
    <row r="114" spans="2:2">
      <c r="B114" s="468"/>
    </row>
    <row r="115" spans="2:2">
      <c r="B115" s="468"/>
    </row>
    <row r="116" spans="2:2">
      <c r="B116" s="468"/>
    </row>
    <row r="117" spans="2:2">
      <c r="B117" s="468"/>
    </row>
    <row r="118" spans="2:2">
      <c r="B118" s="468"/>
    </row>
    <row r="119" spans="2:2">
      <c r="B119" s="468"/>
    </row>
    <row r="120" spans="2:2">
      <c r="B120" s="468"/>
    </row>
    <row r="121" spans="2:2">
      <c r="B121" s="468"/>
    </row>
    <row r="122" spans="2:2">
      <c r="B122" s="468"/>
    </row>
    <row r="123" spans="2:2">
      <c r="B123" s="468"/>
    </row>
    <row r="124" spans="2:2">
      <c r="B124" s="468"/>
    </row>
    <row r="125" spans="2:2">
      <c r="B125" s="468"/>
    </row>
    <row r="126" spans="2:2">
      <c r="B126" s="468"/>
    </row>
    <row r="127" spans="2:2">
      <c r="B127" s="468"/>
    </row>
    <row r="128" spans="2:2">
      <c r="B128" s="468"/>
    </row>
    <row r="129" spans="2:2">
      <c r="B129" s="468"/>
    </row>
    <row r="130" spans="2:2">
      <c r="B130" s="468"/>
    </row>
    <row r="131" spans="2:2">
      <c r="B131" s="468"/>
    </row>
    <row r="132" spans="2:2">
      <c r="B132" s="468"/>
    </row>
    <row r="133" spans="2:2">
      <c r="B133" s="468"/>
    </row>
    <row r="134" spans="2:2">
      <c r="B134" s="468"/>
    </row>
    <row r="135" spans="2:2">
      <c r="B135" s="468"/>
    </row>
    <row r="136" spans="2:2">
      <c r="B136" s="468"/>
    </row>
    <row r="137" spans="2:2">
      <c r="B137" s="468"/>
    </row>
    <row r="138" spans="2:2">
      <c r="B138" s="468"/>
    </row>
    <row r="139" spans="2:2">
      <c r="B139" s="468"/>
    </row>
    <row r="140" spans="2:2">
      <c r="B140" s="468"/>
    </row>
    <row r="141" spans="2:2">
      <c r="B141" s="468"/>
    </row>
    <row r="142" spans="2:2">
      <c r="B142" s="468"/>
    </row>
    <row r="143" spans="2:2">
      <c r="B143" s="468"/>
    </row>
    <row r="144" spans="2:2">
      <c r="B144" s="468"/>
    </row>
    <row r="145" spans="2:2">
      <c r="B145" s="468"/>
    </row>
    <row r="146" spans="2:2">
      <c r="B146" s="468"/>
    </row>
    <row r="147" spans="2:2">
      <c r="B147" s="468"/>
    </row>
    <row r="148" spans="2:2">
      <c r="B148" s="468"/>
    </row>
    <row r="149" spans="2:2">
      <c r="B149" s="468"/>
    </row>
    <row r="150" spans="2:2">
      <c r="B150" s="468"/>
    </row>
    <row r="151" spans="2:2">
      <c r="B151" s="468"/>
    </row>
    <row r="152" spans="2:2">
      <c r="B152" s="468"/>
    </row>
    <row r="153" spans="2:2">
      <c r="B153" s="468"/>
    </row>
    <row r="154" spans="2:2">
      <c r="B154" s="468"/>
    </row>
    <row r="155" spans="2:2">
      <c r="B155" s="468"/>
    </row>
    <row r="156" spans="2:2">
      <c r="B156" s="468"/>
    </row>
    <row r="157" spans="2:2">
      <c r="B157" s="468"/>
    </row>
    <row r="158" spans="2:2">
      <c r="B158" s="468"/>
    </row>
    <row r="159" spans="2:2">
      <c r="B159" s="468"/>
    </row>
    <row r="160" spans="2:2">
      <c r="B160" s="468"/>
    </row>
    <row r="161" spans="2:2">
      <c r="B161" s="468"/>
    </row>
    <row r="162" spans="2:2">
      <c r="B162" s="468"/>
    </row>
    <row r="163" spans="2:2">
      <c r="B163" s="468"/>
    </row>
    <row r="164" spans="2:2">
      <c r="B164" s="468"/>
    </row>
    <row r="165" spans="2:2">
      <c r="B165" s="468"/>
    </row>
    <row r="166" spans="2:2">
      <c r="B166" s="468"/>
    </row>
    <row r="167" spans="2:2">
      <c r="B167" s="468"/>
    </row>
    <row r="168" spans="2:2">
      <c r="B168" s="468"/>
    </row>
    <row r="169" spans="2:2">
      <c r="B169" s="468"/>
    </row>
    <row r="170" spans="2:2">
      <c r="B170" s="468"/>
    </row>
    <row r="171" spans="2:2">
      <c r="B171" s="468"/>
    </row>
    <row r="172" spans="2:2">
      <c r="B172" s="468"/>
    </row>
    <row r="173" spans="2:2">
      <c r="B173" s="468"/>
    </row>
    <row r="174" spans="2:2">
      <c r="B174" s="468"/>
    </row>
    <row r="175" spans="2:2">
      <c r="B175" s="468"/>
    </row>
    <row r="176" spans="2:2">
      <c r="B176" s="468"/>
    </row>
    <row r="177" spans="2:2">
      <c r="B177" s="468"/>
    </row>
    <row r="178" spans="2:2">
      <c r="B178" s="468"/>
    </row>
    <row r="179" spans="2:2">
      <c r="B179" s="468"/>
    </row>
    <row r="180" spans="2:2">
      <c r="B180" s="468"/>
    </row>
    <row r="181" spans="2:2">
      <c r="B181" s="468"/>
    </row>
    <row r="182" spans="2:2">
      <c r="B182" s="468"/>
    </row>
    <row r="183" spans="2:2">
      <c r="B183" s="468"/>
    </row>
    <row r="184" spans="2:2">
      <c r="B184" s="468"/>
    </row>
    <row r="185" spans="2:2">
      <c r="B185" s="468"/>
    </row>
    <row r="186" spans="2:2">
      <c r="B186" s="468"/>
    </row>
    <row r="187" spans="2:2">
      <c r="B187" s="468"/>
    </row>
    <row r="188" spans="2:2">
      <c r="B188" s="468"/>
    </row>
    <row r="189" spans="2:2">
      <c r="B189" s="468"/>
    </row>
    <row r="190" spans="2:2">
      <c r="B190" s="468"/>
    </row>
    <row r="191" spans="2:2">
      <c r="B191" s="468"/>
    </row>
    <row r="192" spans="2:2">
      <c r="B192" s="468"/>
    </row>
    <row r="193" spans="2:2">
      <c r="B193" s="468"/>
    </row>
    <row r="194" spans="2:2">
      <c r="B194" s="468"/>
    </row>
    <row r="195" spans="2:2">
      <c r="B195" s="468"/>
    </row>
    <row r="196" spans="2:2">
      <c r="B196" s="468"/>
    </row>
    <row r="197" spans="2:2">
      <c r="B197" s="468"/>
    </row>
    <row r="198" spans="2:2">
      <c r="B198" s="468"/>
    </row>
    <row r="199" spans="2:2">
      <c r="B199" s="468"/>
    </row>
    <row r="200" spans="2:2">
      <c r="B200" s="468"/>
    </row>
    <row r="201" spans="2:2">
      <c r="B201" s="468"/>
    </row>
    <row r="202" spans="2:2">
      <c r="B202" s="468"/>
    </row>
    <row r="203" spans="2:2">
      <c r="B203" s="468"/>
    </row>
    <row r="204" spans="2:2">
      <c r="B204" s="468"/>
    </row>
    <row r="205" spans="2:2">
      <c r="B205" s="468"/>
    </row>
    <row r="206" spans="2:2">
      <c r="B206" s="468"/>
    </row>
    <row r="207" spans="2:2">
      <c r="B207" s="468"/>
    </row>
    <row r="208" spans="2:2">
      <c r="B208" s="468"/>
    </row>
    <row r="209" spans="2:2">
      <c r="B209" s="468"/>
    </row>
    <row r="210" spans="2:2">
      <c r="B210" s="468"/>
    </row>
    <row r="211" spans="2:2">
      <c r="B211" s="468"/>
    </row>
    <row r="212" spans="2:2">
      <c r="B212" s="468"/>
    </row>
    <row r="213" spans="2:2">
      <c r="B213" s="468"/>
    </row>
    <row r="214" spans="2:2">
      <c r="B214" s="468"/>
    </row>
    <row r="215" spans="2:2">
      <c r="B215" s="468"/>
    </row>
    <row r="216" spans="2:2">
      <c r="B216" s="468"/>
    </row>
    <row r="217" spans="2:2">
      <c r="B217" s="468"/>
    </row>
    <row r="218" spans="2:2">
      <c r="B218" s="468"/>
    </row>
    <row r="219" spans="2:2">
      <c r="B219" s="468"/>
    </row>
    <row r="220" spans="2:2">
      <c r="B220" s="468"/>
    </row>
    <row r="221" spans="2:2">
      <c r="B221" s="468"/>
    </row>
    <row r="222" spans="2:2">
      <c r="B222" s="468"/>
    </row>
    <row r="223" spans="2:2">
      <c r="B223" s="468"/>
    </row>
    <row r="224" spans="2:2">
      <c r="B224" s="468"/>
    </row>
    <row r="225" spans="2:2">
      <c r="B225" s="468"/>
    </row>
    <row r="226" spans="2:2">
      <c r="B226" s="468"/>
    </row>
    <row r="227" spans="2:2">
      <c r="B227" s="468"/>
    </row>
    <row r="228" spans="2:2">
      <c r="B228" s="468"/>
    </row>
    <row r="229" spans="2:2">
      <c r="B229" s="468"/>
    </row>
    <row r="230" spans="2:2">
      <c r="B230" s="468"/>
    </row>
    <row r="231" spans="2:2">
      <c r="B231" s="468"/>
    </row>
    <row r="232" spans="2:2">
      <c r="B232" s="468"/>
    </row>
    <row r="233" spans="2:2">
      <c r="B233" s="468"/>
    </row>
    <row r="234" spans="2:2">
      <c r="B234" s="468"/>
    </row>
    <row r="235" spans="2:2">
      <c r="B235" s="468"/>
    </row>
    <row r="236" spans="2:2">
      <c r="B236" s="468"/>
    </row>
    <row r="237" spans="2:2">
      <c r="B237" s="468"/>
    </row>
    <row r="238" spans="2:2">
      <c r="B238" s="468"/>
    </row>
    <row r="239" spans="2:2">
      <c r="B239" s="468"/>
    </row>
    <row r="240" spans="2:2">
      <c r="B240" s="468"/>
    </row>
    <row r="241" spans="2:2">
      <c r="B241" s="468"/>
    </row>
    <row r="242" spans="2:2">
      <c r="B242" s="468"/>
    </row>
    <row r="243" spans="2:2">
      <c r="B243" s="468"/>
    </row>
    <row r="244" spans="2:2">
      <c r="B244" s="468"/>
    </row>
    <row r="245" spans="2:2">
      <c r="B245" s="468"/>
    </row>
    <row r="246" spans="2:2">
      <c r="B246" s="468"/>
    </row>
    <row r="247" spans="2:2">
      <c r="B247" s="468"/>
    </row>
    <row r="248" spans="2:2">
      <c r="B248" s="468"/>
    </row>
    <row r="249" spans="2:2">
      <c r="B249" s="468"/>
    </row>
    <row r="250" spans="2:2">
      <c r="B250" s="468"/>
    </row>
    <row r="251" spans="2:2">
      <c r="B251" s="468"/>
    </row>
    <row r="252" spans="2:2">
      <c r="B252" s="468"/>
    </row>
    <row r="253" spans="2:2">
      <c r="B253" s="468"/>
    </row>
    <row r="254" spans="2:2">
      <c r="B254" s="468"/>
    </row>
    <row r="255" spans="2:2">
      <c r="B255" s="468"/>
    </row>
    <row r="256" spans="2:2">
      <c r="B256" s="468"/>
    </row>
    <row r="257" spans="2:2">
      <c r="B257" s="468"/>
    </row>
    <row r="258" spans="2:2">
      <c r="B258" s="468"/>
    </row>
    <row r="259" spans="2:2">
      <c r="B259" s="468"/>
    </row>
    <row r="260" spans="2:2">
      <c r="B260" s="468"/>
    </row>
    <row r="261" spans="2:2">
      <c r="B261" s="468"/>
    </row>
    <row r="262" spans="2:2">
      <c r="B262" s="468"/>
    </row>
    <row r="263" spans="2:2">
      <c r="B263" s="468"/>
    </row>
    <row r="264" spans="2:2">
      <c r="B264" s="468"/>
    </row>
    <row r="265" spans="2:2">
      <c r="B265" s="468"/>
    </row>
    <row r="266" spans="2:2">
      <c r="B266" s="468"/>
    </row>
    <row r="267" spans="2:2">
      <c r="B267" s="468"/>
    </row>
    <row r="268" spans="2:2">
      <c r="B268" s="468"/>
    </row>
    <row r="269" spans="2:2">
      <c r="B269" s="468"/>
    </row>
    <row r="270" spans="2:2">
      <c r="B270" s="468"/>
    </row>
    <row r="271" spans="2:2">
      <c r="B271" s="468"/>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D3DA-3D4A-42C5-9B31-4D787E56F83A}">
  <dimension ref="A1:EU67"/>
  <sheetViews>
    <sheetView workbookViewId="0">
      <pane xSplit="1" ySplit="3" topLeftCell="F4" activePane="bottomRight" state="frozen"/>
      <selection activeCell="D7" sqref="D7"/>
      <selection pane="topRight" activeCell="D7" sqref="D7"/>
      <selection pane="bottomLeft" activeCell="D7" sqref="D7"/>
      <selection pane="bottomRight" activeCell="H1" sqref="H1"/>
    </sheetView>
  </sheetViews>
  <sheetFormatPr defaultColWidth="9.54296875" defaultRowHeight="14.5"/>
  <cols>
    <col min="1" max="151" width="31.453125" style="471" bestFit="1" customWidth="1"/>
    <col min="152" max="16384" width="9.54296875" style="471"/>
  </cols>
  <sheetData>
    <row r="1" spans="1:151" ht="18" customHeight="1">
      <c r="A1" s="563" t="s">
        <v>648</v>
      </c>
      <c r="B1" s="540" t="s">
        <v>1034</v>
      </c>
      <c r="C1" s="541"/>
      <c r="D1" s="554" t="s">
        <v>1035</v>
      </c>
      <c r="E1" s="554" t="s">
        <v>1036</v>
      </c>
      <c r="F1" s="554" t="s">
        <v>1023</v>
      </c>
      <c r="G1" s="554" t="s">
        <v>1024</v>
      </c>
      <c r="H1" s="554" t="s">
        <v>1025</v>
      </c>
      <c r="I1" s="554" t="s">
        <v>1026</v>
      </c>
      <c r="J1" s="540" t="s">
        <v>1027</v>
      </c>
      <c r="K1" s="541"/>
      <c r="L1" s="540" t="s">
        <v>1028</v>
      </c>
      <c r="M1" s="541"/>
      <c r="N1" s="540" t="s">
        <v>1029</v>
      </c>
      <c r="O1" s="541"/>
      <c r="P1" s="540" t="s">
        <v>1030</v>
      </c>
      <c r="Q1" s="541"/>
      <c r="R1" s="555" t="s">
        <v>1031</v>
      </c>
      <c r="S1" s="556"/>
      <c r="T1" s="556"/>
      <c r="U1" s="557"/>
      <c r="V1" s="555" t="s">
        <v>1032</v>
      </c>
      <c r="W1" s="556"/>
      <c r="X1" s="556"/>
      <c r="Y1" s="557"/>
      <c r="Z1" s="555" t="s">
        <v>1033</v>
      </c>
      <c r="AA1" s="556"/>
      <c r="AB1" s="556"/>
      <c r="AC1" s="557"/>
      <c r="AD1" s="540" t="s">
        <v>649</v>
      </c>
      <c r="AE1" s="541"/>
      <c r="AF1" s="540" t="s">
        <v>650</v>
      </c>
      <c r="AG1" s="541"/>
      <c r="AH1" s="540" t="s">
        <v>651</v>
      </c>
      <c r="AI1" s="541"/>
      <c r="AJ1" s="540" t="s">
        <v>652</v>
      </c>
      <c r="AK1" s="541"/>
      <c r="AL1" s="555" t="s">
        <v>653</v>
      </c>
      <c r="AM1" s="556"/>
      <c r="AN1" s="556"/>
      <c r="AO1" s="557"/>
      <c r="AP1" s="540" t="s">
        <v>654</v>
      </c>
      <c r="AQ1" s="541"/>
      <c r="AR1" s="540" t="s">
        <v>655</v>
      </c>
      <c r="AS1" s="541"/>
      <c r="AT1" s="540" t="s">
        <v>656</v>
      </c>
      <c r="AU1" s="541"/>
      <c r="AV1" s="540" t="s">
        <v>657</v>
      </c>
      <c r="AW1" s="541"/>
      <c r="AX1" s="540" t="s">
        <v>658</v>
      </c>
      <c r="AY1" s="541"/>
      <c r="AZ1" s="540" t="s">
        <v>659</v>
      </c>
      <c r="BA1" s="541"/>
      <c r="BB1" s="540" t="s">
        <v>660</v>
      </c>
      <c r="BC1" s="541"/>
      <c r="BD1" s="540" t="s">
        <v>661</v>
      </c>
      <c r="BE1" s="541"/>
      <c r="BF1" s="540" t="s">
        <v>662</v>
      </c>
      <c r="BG1" s="541"/>
      <c r="BH1" s="540" t="s">
        <v>663</v>
      </c>
      <c r="BI1" s="541"/>
      <c r="BJ1" s="540" t="s">
        <v>664</v>
      </c>
      <c r="BK1" s="541"/>
      <c r="BL1" s="540" t="s">
        <v>665</v>
      </c>
      <c r="BM1" s="541"/>
      <c r="BN1" s="540" t="s">
        <v>666</v>
      </c>
      <c r="BO1" s="541"/>
      <c r="BP1" s="540" t="s">
        <v>667</v>
      </c>
      <c r="BQ1" s="541"/>
      <c r="BR1" s="540" t="s">
        <v>668</v>
      </c>
      <c r="BS1" s="541"/>
      <c r="BT1" s="540" t="s">
        <v>669</v>
      </c>
      <c r="BU1" s="541"/>
      <c r="BV1" s="540" t="s">
        <v>670</v>
      </c>
      <c r="BW1" s="541"/>
      <c r="BX1" s="540" t="s">
        <v>671</v>
      </c>
      <c r="BY1" s="541"/>
      <c r="BZ1" s="540" t="s">
        <v>672</v>
      </c>
      <c r="CA1" s="541"/>
      <c r="CB1" s="540" t="s">
        <v>673</v>
      </c>
      <c r="CC1" s="541"/>
      <c r="CD1" s="540" t="s">
        <v>674</v>
      </c>
      <c r="CE1" s="541"/>
      <c r="CF1" s="540" t="s">
        <v>675</v>
      </c>
      <c r="CG1" s="541"/>
      <c r="CH1" s="540" t="s">
        <v>676</v>
      </c>
      <c r="CI1" s="541"/>
      <c r="CJ1" s="540" t="s">
        <v>677</v>
      </c>
      <c r="CK1" s="541"/>
      <c r="CL1" s="540" t="s">
        <v>678</v>
      </c>
      <c r="CM1" s="541"/>
      <c r="CN1" s="540" t="s">
        <v>679</v>
      </c>
      <c r="CO1" s="541"/>
      <c r="CP1" s="540" t="s">
        <v>680</v>
      </c>
      <c r="CQ1" s="541"/>
      <c r="CR1" s="540" t="s">
        <v>681</v>
      </c>
      <c r="CS1" s="541"/>
      <c r="CT1" s="540" t="s">
        <v>682</v>
      </c>
      <c r="CU1" s="541"/>
      <c r="CV1" s="540" t="s">
        <v>683</v>
      </c>
      <c r="CW1" s="541"/>
      <c r="CX1" s="540" t="s">
        <v>684</v>
      </c>
      <c r="CY1" s="541"/>
      <c r="CZ1" s="540" t="s">
        <v>685</v>
      </c>
      <c r="DA1" s="541"/>
      <c r="DB1" s="540" t="s">
        <v>686</v>
      </c>
      <c r="DC1" s="541"/>
      <c r="DD1" s="542" t="s">
        <v>687</v>
      </c>
      <c r="DE1" s="543"/>
      <c r="DF1" s="542" t="s">
        <v>688</v>
      </c>
      <c r="DG1" s="543"/>
      <c r="DH1" s="544" t="s">
        <v>689</v>
      </c>
      <c r="DI1" s="544" t="s">
        <v>689</v>
      </c>
      <c r="DJ1" s="544" t="s">
        <v>690</v>
      </c>
      <c r="DK1" s="544" t="s">
        <v>690</v>
      </c>
      <c r="DL1" s="544" t="s">
        <v>691</v>
      </c>
      <c r="DM1" s="544" t="s">
        <v>691</v>
      </c>
      <c r="DN1" s="542" t="s">
        <v>692</v>
      </c>
      <c r="DO1" s="543"/>
      <c r="DP1" s="542" t="s">
        <v>693</v>
      </c>
      <c r="DQ1" s="543"/>
      <c r="DR1" s="542" t="s">
        <v>694</v>
      </c>
      <c r="DS1" s="543"/>
      <c r="DT1" s="542" t="s">
        <v>695</v>
      </c>
      <c r="DU1" s="543"/>
      <c r="DV1" s="542" t="s">
        <v>696</v>
      </c>
      <c r="DW1" s="543"/>
      <c r="DX1" s="542" t="s">
        <v>697</v>
      </c>
      <c r="DY1" s="543"/>
      <c r="DZ1" s="542" t="s">
        <v>698</v>
      </c>
      <c r="EA1" s="543"/>
      <c r="EB1" s="542" t="s">
        <v>674</v>
      </c>
      <c r="EC1" s="543"/>
      <c r="ED1" s="542" t="s">
        <v>699</v>
      </c>
      <c r="EE1" s="543"/>
      <c r="EF1" s="542" t="s">
        <v>700</v>
      </c>
      <c r="EG1" s="543"/>
      <c r="EH1" s="542" t="s">
        <v>701</v>
      </c>
      <c r="EI1" s="543"/>
      <c r="EJ1" s="542" t="s">
        <v>702</v>
      </c>
      <c r="EK1" s="543"/>
      <c r="EL1" s="542" t="s">
        <v>703</v>
      </c>
      <c r="EM1" s="543"/>
      <c r="EN1" s="542" t="s">
        <v>704</v>
      </c>
      <c r="EO1" s="543"/>
      <c r="EP1" s="545" t="s">
        <v>705</v>
      </c>
      <c r="EQ1" s="546"/>
      <c r="ER1" s="545" t="s">
        <v>706</v>
      </c>
      <c r="ES1" s="546"/>
      <c r="ET1" s="545" t="s">
        <v>707</v>
      </c>
      <c r="EU1" s="546"/>
    </row>
    <row r="2" spans="1:151" ht="15" customHeight="1">
      <c r="A2" s="564"/>
      <c r="B2" s="547"/>
      <c r="C2" s="548"/>
      <c r="D2" s="558"/>
      <c r="E2" s="558"/>
      <c r="F2" s="558"/>
      <c r="G2" s="558"/>
      <c r="H2" s="558"/>
      <c r="I2" s="558"/>
      <c r="J2" s="547"/>
      <c r="K2" s="548"/>
      <c r="L2" s="547"/>
      <c r="M2" s="548"/>
      <c r="N2" s="547"/>
      <c r="O2" s="548"/>
      <c r="P2" s="547"/>
      <c r="Q2" s="548"/>
      <c r="R2" s="559" t="s">
        <v>708</v>
      </c>
      <c r="S2" s="560"/>
      <c r="T2" s="559" t="s">
        <v>709</v>
      </c>
      <c r="U2" s="560"/>
      <c r="V2" s="559" t="s">
        <v>708</v>
      </c>
      <c r="W2" s="560"/>
      <c r="X2" s="559" t="s">
        <v>709</v>
      </c>
      <c r="Y2" s="560"/>
      <c r="Z2" s="559" t="s">
        <v>708</v>
      </c>
      <c r="AA2" s="560"/>
      <c r="AB2" s="559" t="s">
        <v>709</v>
      </c>
      <c r="AC2" s="560"/>
      <c r="AD2" s="547"/>
      <c r="AE2" s="548"/>
      <c r="AF2" s="547"/>
      <c r="AG2" s="548"/>
      <c r="AH2" s="547"/>
      <c r="AI2" s="548"/>
      <c r="AJ2" s="547"/>
      <c r="AK2" s="548"/>
      <c r="AL2" s="559" t="s">
        <v>708</v>
      </c>
      <c r="AM2" s="560"/>
      <c r="AN2" s="559" t="s">
        <v>709</v>
      </c>
      <c r="AO2" s="560"/>
      <c r="AP2" s="547"/>
      <c r="AQ2" s="548"/>
      <c r="AR2" s="547"/>
      <c r="AS2" s="548"/>
      <c r="AT2" s="547"/>
      <c r="AU2" s="548"/>
      <c r="AV2" s="547"/>
      <c r="AW2" s="548"/>
      <c r="AX2" s="547"/>
      <c r="AY2" s="548"/>
      <c r="AZ2" s="547"/>
      <c r="BA2" s="548"/>
      <c r="BB2" s="547"/>
      <c r="BC2" s="548"/>
      <c r="BD2" s="547"/>
      <c r="BE2" s="548"/>
      <c r="BF2" s="547"/>
      <c r="BG2" s="548"/>
      <c r="BH2" s="547"/>
      <c r="BI2" s="548"/>
      <c r="BJ2" s="547"/>
      <c r="BK2" s="548"/>
      <c r="BL2" s="547"/>
      <c r="BM2" s="548"/>
      <c r="BN2" s="547"/>
      <c r="BO2" s="548"/>
      <c r="BP2" s="547"/>
      <c r="BQ2" s="548"/>
      <c r="BR2" s="547"/>
      <c r="BS2" s="548"/>
      <c r="BT2" s="547"/>
      <c r="BU2" s="548"/>
      <c r="BV2" s="547"/>
      <c r="BW2" s="548"/>
      <c r="BX2" s="547"/>
      <c r="BY2" s="548"/>
      <c r="BZ2" s="547"/>
      <c r="CA2" s="548"/>
      <c r="CB2" s="547"/>
      <c r="CC2" s="548"/>
      <c r="CD2" s="547"/>
      <c r="CE2" s="548"/>
      <c r="CF2" s="547"/>
      <c r="CG2" s="548"/>
      <c r="CH2" s="547"/>
      <c r="CI2" s="548"/>
      <c r="CJ2" s="547"/>
      <c r="CK2" s="548"/>
      <c r="CL2" s="547"/>
      <c r="CM2" s="548"/>
      <c r="CN2" s="547"/>
      <c r="CO2" s="548"/>
      <c r="CP2" s="547"/>
      <c r="CQ2" s="548"/>
      <c r="CR2" s="547"/>
      <c r="CS2" s="548"/>
      <c r="CT2" s="547"/>
      <c r="CU2" s="548"/>
      <c r="CV2" s="547"/>
      <c r="CW2" s="548"/>
      <c r="CX2" s="547"/>
      <c r="CY2" s="548"/>
      <c r="CZ2" s="547"/>
      <c r="DA2" s="548"/>
      <c r="DB2" s="547"/>
      <c r="DC2" s="548"/>
      <c r="DD2" s="549"/>
      <c r="DE2" s="550"/>
      <c r="DF2" s="549"/>
      <c r="DG2" s="550"/>
      <c r="DH2" s="551"/>
      <c r="DI2" s="551"/>
      <c r="DJ2" s="551"/>
      <c r="DK2" s="551"/>
      <c r="DL2" s="551"/>
      <c r="DM2" s="551"/>
      <c r="DN2" s="549"/>
      <c r="DO2" s="550"/>
      <c r="DP2" s="549"/>
      <c r="DQ2" s="550"/>
      <c r="DR2" s="549"/>
      <c r="DS2" s="550"/>
      <c r="DT2" s="549"/>
      <c r="DU2" s="550"/>
      <c r="DV2" s="549"/>
      <c r="DW2" s="550"/>
      <c r="DX2" s="549"/>
      <c r="DY2" s="550"/>
      <c r="DZ2" s="549"/>
      <c r="EA2" s="550"/>
      <c r="EB2" s="549"/>
      <c r="EC2" s="550"/>
      <c r="ED2" s="549"/>
      <c r="EE2" s="550"/>
      <c r="EF2" s="549"/>
      <c r="EG2" s="550"/>
      <c r="EH2" s="549"/>
      <c r="EI2" s="550"/>
      <c r="EJ2" s="549"/>
      <c r="EK2" s="550"/>
      <c r="EL2" s="549"/>
      <c r="EM2" s="550"/>
      <c r="EN2" s="549"/>
      <c r="EO2" s="550"/>
      <c r="EP2" s="552"/>
      <c r="EQ2" s="553"/>
      <c r="ER2" s="552"/>
      <c r="ES2" s="553"/>
      <c r="ET2" s="552"/>
      <c r="EU2" s="553"/>
    </row>
    <row r="3" spans="1:151" ht="18">
      <c r="A3" s="565"/>
      <c r="B3" s="561" t="s">
        <v>710</v>
      </c>
      <c r="C3" s="561" t="s">
        <v>711</v>
      </c>
      <c r="D3" s="562"/>
      <c r="E3" s="562"/>
      <c r="F3" s="562"/>
      <c r="G3" s="562"/>
      <c r="H3" s="562"/>
      <c r="I3" s="562"/>
      <c r="J3" s="561" t="s">
        <v>614</v>
      </c>
      <c r="K3" s="561" t="s">
        <v>712</v>
      </c>
      <c r="L3" s="561" t="s">
        <v>614</v>
      </c>
      <c r="M3" s="561" t="s">
        <v>712</v>
      </c>
      <c r="N3" s="561" t="s">
        <v>614</v>
      </c>
      <c r="O3" s="561" t="s">
        <v>712</v>
      </c>
      <c r="P3" s="561" t="s">
        <v>614</v>
      </c>
      <c r="Q3" s="561" t="s">
        <v>712</v>
      </c>
      <c r="R3" s="561" t="s">
        <v>614</v>
      </c>
      <c r="S3" s="561" t="s">
        <v>712</v>
      </c>
      <c r="T3" s="561" t="s">
        <v>614</v>
      </c>
      <c r="U3" s="561" t="s">
        <v>712</v>
      </c>
      <c r="V3" s="561" t="s">
        <v>614</v>
      </c>
      <c r="W3" s="561" t="s">
        <v>712</v>
      </c>
      <c r="X3" s="561" t="s">
        <v>614</v>
      </c>
      <c r="Y3" s="561" t="s">
        <v>712</v>
      </c>
      <c r="Z3" s="561" t="s">
        <v>614</v>
      </c>
      <c r="AA3" s="561" t="s">
        <v>712</v>
      </c>
      <c r="AB3" s="561" t="s">
        <v>614</v>
      </c>
      <c r="AC3" s="561" t="s">
        <v>712</v>
      </c>
      <c r="AD3" s="561" t="s">
        <v>614</v>
      </c>
      <c r="AE3" s="561" t="s">
        <v>712</v>
      </c>
      <c r="AF3" s="561" t="s">
        <v>614</v>
      </c>
      <c r="AG3" s="561" t="s">
        <v>712</v>
      </c>
      <c r="AH3" s="561" t="s">
        <v>614</v>
      </c>
      <c r="AI3" s="561" t="s">
        <v>712</v>
      </c>
      <c r="AJ3" s="561" t="s">
        <v>614</v>
      </c>
      <c r="AK3" s="561" t="s">
        <v>712</v>
      </c>
      <c r="AL3" s="561" t="s">
        <v>614</v>
      </c>
      <c r="AM3" s="561" t="s">
        <v>712</v>
      </c>
      <c r="AN3" s="561" t="s">
        <v>614</v>
      </c>
      <c r="AO3" s="561" t="s">
        <v>712</v>
      </c>
      <c r="AP3" s="561" t="s">
        <v>614</v>
      </c>
      <c r="AQ3" s="561" t="s">
        <v>712</v>
      </c>
      <c r="AR3" s="561" t="s">
        <v>614</v>
      </c>
      <c r="AS3" s="561" t="s">
        <v>712</v>
      </c>
      <c r="AT3" s="561" t="s">
        <v>614</v>
      </c>
      <c r="AU3" s="561" t="s">
        <v>712</v>
      </c>
      <c r="AV3" s="561" t="s">
        <v>614</v>
      </c>
      <c r="AW3" s="561" t="s">
        <v>712</v>
      </c>
      <c r="AX3" s="561" t="s">
        <v>614</v>
      </c>
      <c r="AY3" s="561" t="s">
        <v>712</v>
      </c>
      <c r="AZ3" s="561" t="s">
        <v>614</v>
      </c>
      <c r="BA3" s="561" t="s">
        <v>712</v>
      </c>
      <c r="BB3" s="561" t="s">
        <v>614</v>
      </c>
      <c r="BC3" s="561" t="s">
        <v>712</v>
      </c>
      <c r="BD3" s="561" t="s">
        <v>614</v>
      </c>
      <c r="BE3" s="561" t="s">
        <v>712</v>
      </c>
      <c r="BF3" s="561" t="s">
        <v>614</v>
      </c>
      <c r="BG3" s="561" t="s">
        <v>712</v>
      </c>
      <c r="BH3" s="561" t="s">
        <v>614</v>
      </c>
      <c r="BI3" s="561" t="s">
        <v>712</v>
      </c>
      <c r="BJ3" s="561" t="s">
        <v>614</v>
      </c>
      <c r="BK3" s="561" t="s">
        <v>712</v>
      </c>
      <c r="BL3" s="561" t="s">
        <v>614</v>
      </c>
      <c r="BM3" s="561" t="s">
        <v>712</v>
      </c>
      <c r="BN3" s="561" t="s">
        <v>614</v>
      </c>
      <c r="BO3" s="561" t="s">
        <v>712</v>
      </c>
      <c r="BP3" s="561" t="s">
        <v>614</v>
      </c>
      <c r="BQ3" s="561" t="s">
        <v>712</v>
      </c>
      <c r="BR3" s="561" t="s">
        <v>614</v>
      </c>
      <c r="BS3" s="561" t="s">
        <v>712</v>
      </c>
      <c r="BT3" s="561" t="s">
        <v>614</v>
      </c>
      <c r="BU3" s="561" t="s">
        <v>712</v>
      </c>
      <c r="BV3" s="561" t="s">
        <v>614</v>
      </c>
      <c r="BW3" s="561" t="s">
        <v>712</v>
      </c>
      <c r="BX3" s="561" t="s">
        <v>614</v>
      </c>
      <c r="BY3" s="561" t="s">
        <v>712</v>
      </c>
      <c r="BZ3" s="561" t="s">
        <v>614</v>
      </c>
      <c r="CA3" s="561" t="s">
        <v>712</v>
      </c>
      <c r="CB3" s="561" t="s">
        <v>614</v>
      </c>
      <c r="CC3" s="561" t="s">
        <v>712</v>
      </c>
      <c r="CD3" s="561" t="s">
        <v>614</v>
      </c>
      <c r="CE3" s="561" t="s">
        <v>712</v>
      </c>
      <c r="CF3" s="561" t="s">
        <v>614</v>
      </c>
      <c r="CG3" s="561" t="s">
        <v>712</v>
      </c>
      <c r="CH3" s="472" t="s">
        <v>614</v>
      </c>
      <c r="CI3" s="472" t="s">
        <v>712</v>
      </c>
      <c r="CJ3" s="472" t="s">
        <v>614</v>
      </c>
      <c r="CK3" s="472" t="s">
        <v>712</v>
      </c>
      <c r="CL3" s="472" t="s">
        <v>614</v>
      </c>
      <c r="CM3" s="472" t="s">
        <v>712</v>
      </c>
      <c r="CN3" s="472" t="s">
        <v>614</v>
      </c>
      <c r="CO3" s="472" t="s">
        <v>712</v>
      </c>
      <c r="CP3" s="472" t="s">
        <v>614</v>
      </c>
      <c r="CQ3" s="472" t="s">
        <v>712</v>
      </c>
      <c r="CR3" s="472" t="s">
        <v>614</v>
      </c>
      <c r="CS3" s="472" t="s">
        <v>712</v>
      </c>
      <c r="CT3" s="472" t="s">
        <v>614</v>
      </c>
      <c r="CU3" s="472" t="s">
        <v>712</v>
      </c>
      <c r="CV3" s="472" t="s">
        <v>614</v>
      </c>
      <c r="CW3" s="472" t="s">
        <v>712</v>
      </c>
      <c r="CX3" s="472" t="s">
        <v>614</v>
      </c>
      <c r="CY3" s="472" t="s">
        <v>712</v>
      </c>
      <c r="CZ3" s="472" t="s">
        <v>614</v>
      </c>
      <c r="DA3" s="472" t="s">
        <v>712</v>
      </c>
      <c r="DB3" s="472" t="s">
        <v>614</v>
      </c>
      <c r="DC3" s="472" t="s">
        <v>712</v>
      </c>
      <c r="DD3" s="472" t="s">
        <v>614</v>
      </c>
      <c r="DE3" s="472" t="s">
        <v>712</v>
      </c>
      <c r="DF3" s="472" t="s">
        <v>614</v>
      </c>
      <c r="DG3" s="472" t="s">
        <v>712</v>
      </c>
      <c r="DH3" s="472" t="s">
        <v>614</v>
      </c>
      <c r="DI3" s="472" t="s">
        <v>712</v>
      </c>
      <c r="DJ3" s="472" t="s">
        <v>614</v>
      </c>
      <c r="DK3" s="472" t="s">
        <v>712</v>
      </c>
      <c r="DL3" s="472" t="s">
        <v>614</v>
      </c>
      <c r="DM3" s="472" t="s">
        <v>712</v>
      </c>
      <c r="DN3" s="472" t="s">
        <v>614</v>
      </c>
      <c r="DO3" s="472" t="s">
        <v>712</v>
      </c>
      <c r="DP3" s="472" t="s">
        <v>614</v>
      </c>
      <c r="DQ3" s="472" t="s">
        <v>712</v>
      </c>
      <c r="DR3" s="472" t="s">
        <v>614</v>
      </c>
      <c r="DS3" s="472" t="s">
        <v>712</v>
      </c>
      <c r="DT3" s="472" t="s">
        <v>614</v>
      </c>
      <c r="DU3" s="472" t="s">
        <v>712</v>
      </c>
      <c r="DV3" s="472" t="s">
        <v>614</v>
      </c>
      <c r="DW3" s="472" t="s">
        <v>712</v>
      </c>
      <c r="DX3" s="472" t="s">
        <v>614</v>
      </c>
      <c r="DY3" s="472" t="s">
        <v>712</v>
      </c>
      <c r="DZ3" s="472" t="s">
        <v>614</v>
      </c>
      <c r="EA3" s="472" t="s">
        <v>712</v>
      </c>
      <c r="EB3" s="472" t="s">
        <v>614</v>
      </c>
      <c r="EC3" s="472" t="s">
        <v>712</v>
      </c>
      <c r="ED3" s="472" t="s">
        <v>614</v>
      </c>
      <c r="EE3" s="472" t="s">
        <v>712</v>
      </c>
      <c r="EF3" s="472" t="s">
        <v>614</v>
      </c>
      <c r="EG3" s="472" t="s">
        <v>712</v>
      </c>
      <c r="EH3" s="472" t="s">
        <v>614</v>
      </c>
      <c r="EI3" s="472" t="s">
        <v>712</v>
      </c>
      <c r="EJ3" s="472" t="s">
        <v>614</v>
      </c>
      <c r="EK3" s="472" t="s">
        <v>712</v>
      </c>
      <c r="EL3" s="472" t="s">
        <v>614</v>
      </c>
      <c r="EM3" s="472" t="s">
        <v>712</v>
      </c>
      <c r="EN3" s="472" t="s">
        <v>614</v>
      </c>
      <c r="EO3" s="472" t="s">
        <v>712</v>
      </c>
      <c r="EP3" s="473" t="s">
        <v>614</v>
      </c>
      <c r="EQ3" s="473" t="s">
        <v>712</v>
      </c>
      <c r="ER3" s="473" t="s">
        <v>614</v>
      </c>
      <c r="ES3" s="473" t="s">
        <v>712</v>
      </c>
      <c r="ET3" s="473" t="s">
        <v>614</v>
      </c>
      <c r="EU3" s="473" t="s">
        <v>712</v>
      </c>
    </row>
    <row r="4" spans="1:151" ht="15.5">
      <c r="A4" s="474" t="s">
        <v>713</v>
      </c>
      <c r="B4" s="475">
        <v>165235</v>
      </c>
      <c r="C4" s="475">
        <v>2761</v>
      </c>
      <c r="D4" s="475">
        <v>-28139823</v>
      </c>
      <c r="E4" s="475">
        <v>-98623</v>
      </c>
      <c r="F4" s="475">
        <v>-28244303</v>
      </c>
      <c r="G4" s="475">
        <v>2872379</v>
      </c>
      <c r="H4" s="475">
        <v>0</v>
      </c>
      <c r="I4" s="475">
        <v>12010</v>
      </c>
      <c r="J4" s="475">
        <v>44613</v>
      </c>
      <c r="K4" s="475">
        <v>1972860</v>
      </c>
      <c r="L4" s="475">
        <v>82690</v>
      </c>
      <c r="M4" s="475">
        <v>822873</v>
      </c>
      <c r="N4" s="475">
        <v>47043</v>
      </c>
      <c r="O4" s="475">
        <v>640978</v>
      </c>
      <c r="P4" s="475">
        <v>23605</v>
      </c>
      <c r="Q4" s="475">
        <v>380584</v>
      </c>
      <c r="R4" s="475">
        <v>26570</v>
      </c>
      <c r="S4" s="475">
        <v>463208</v>
      </c>
      <c r="T4" s="475">
        <v>53914</v>
      </c>
      <c r="U4" s="475">
        <v>-1774661</v>
      </c>
      <c r="V4" s="475">
        <v>19552</v>
      </c>
      <c r="W4" s="475">
        <v>2192789</v>
      </c>
      <c r="X4" s="475">
        <v>49684</v>
      </c>
      <c r="Y4" s="475">
        <v>-125716</v>
      </c>
      <c r="Z4" s="475">
        <v>15977</v>
      </c>
      <c r="AA4" s="475">
        <v>376226</v>
      </c>
      <c r="AB4" s="475">
        <v>28666</v>
      </c>
      <c r="AC4" s="475">
        <v>-1006832</v>
      </c>
      <c r="AD4" s="475">
        <v>19618</v>
      </c>
      <c r="AE4" s="475">
        <v>2404717</v>
      </c>
      <c r="AF4" s="475">
        <v>38321</v>
      </c>
      <c r="AG4" s="475">
        <v>8979583</v>
      </c>
      <c r="AH4" s="475">
        <v>1690</v>
      </c>
      <c r="AI4" s="475">
        <v>96750</v>
      </c>
      <c r="AJ4" s="475">
        <v>737</v>
      </c>
      <c r="AK4" s="475">
        <v>198931</v>
      </c>
      <c r="AL4" s="475">
        <v>973</v>
      </c>
      <c r="AM4" s="475">
        <v>32360</v>
      </c>
      <c r="AN4" s="475">
        <v>4989</v>
      </c>
      <c r="AO4" s="475">
        <v>-568572</v>
      </c>
      <c r="AP4" s="475">
        <v>34012</v>
      </c>
      <c r="AQ4" s="475">
        <v>1047562</v>
      </c>
      <c r="AR4" s="475">
        <v>73801</v>
      </c>
      <c r="AS4" s="475">
        <v>25472949</v>
      </c>
      <c r="AT4" s="475">
        <v>163321</v>
      </c>
      <c r="AU4" s="475">
        <v>-27704542</v>
      </c>
      <c r="AV4" s="475">
        <v>1353</v>
      </c>
      <c r="AW4" s="475">
        <v>7603</v>
      </c>
      <c r="AX4" s="475">
        <v>10724</v>
      </c>
      <c r="AY4" s="475">
        <v>12244</v>
      </c>
      <c r="AZ4" s="475">
        <v>2823</v>
      </c>
      <c r="BA4" s="475">
        <v>9140</v>
      </c>
      <c r="BB4" s="475">
        <v>222</v>
      </c>
      <c r="BC4" s="475">
        <v>578</v>
      </c>
      <c r="BD4" s="475">
        <v>24445</v>
      </c>
      <c r="BE4" s="475">
        <v>31953</v>
      </c>
      <c r="BF4" s="475">
        <v>12352</v>
      </c>
      <c r="BG4" s="475">
        <v>74585</v>
      </c>
      <c r="BH4" s="475">
        <v>552</v>
      </c>
      <c r="BI4" s="475">
        <v>17673</v>
      </c>
      <c r="BJ4" s="475">
        <v>825</v>
      </c>
      <c r="BK4" s="475">
        <v>12436</v>
      </c>
      <c r="BL4" s="475">
        <v>1648</v>
      </c>
      <c r="BM4" s="475">
        <v>50677</v>
      </c>
      <c r="BN4" s="475">
        <v>0</v>
      </c>
      <c r="BO4" s="475">
        <v>0</v>
      </c>
      <c r="BP4" s="475">
        <v>42224</v>
      </c>
      <c r="BQ4" s="475">
        <v>260910</v>
      </c>
      <c r="BR4" s="475">
        <v>92483</v>
      </c>
      <c r="BS4" s="475">
        <v>29093439</v>
      </c>
      <c r="BT4" s="475">
        <v>83043</v>
      </c>
      <c r="BU4" s="475">
        <v>28996331</v>
      </c>
      <c r="BV4" s="475">
        <v>24714</v>
      </c>
      <c r="BW4" s="475">
        <v>407820</v>
      </c>
      <c r="BX4" s="475">
        <v>30266</v>
      </c>
      <c r="BY4" s="475">
        <v>376226</v>
      </c>
      <c r="BZ4" s="475">
        <v>30382</v>
      </c>
      <c r="CA4" s="475">
        <v>372998</v>
      </c>
      <c r="CB4" s="475">
        <v>15247</v>
      </c>
      <c r="CC4" s="475">
        <v>9893</v>
      </c>
      <c r="CD4" s="475">
        <v>1743</v>
      </c>
      <c r="CE4" s="475">
        <v>1925</v>
      </c>
      <c r="CF4" s="475">
        <v>34910</v>
      </c>
      <c r="CG4" s="475">
        <v>761042</v>
      </c>
      <c r="CH4" s="475">
        <v>27617</v>
      </c>
      <c r="CI4" s="475">
        <v>555910</v>
      </c>
      <c r="CJ4" s="475">
        <v>9393</v>
      </c>
      <c r="CK4" s="475">
        <v>214859</v>
      </c>
      <c r="CL4" s="475">
        <v>29023</v>
      </c>
      <c r="CM4" s="475">
        <v>770767</v>
      </c>
      <c r="CN4" s="475">
        <v>4802</v>
      </c>
      <c r="CO4" s="475">
        <v>31244</v>
      </c>
      <c r="CP4" s="475">
        <v>2257</v>
      </c>
      <c r="CQ4" s="475">
        <v>5746</v>
      </c>
      <c r="CR4" s="475">
        <v>1383</v>
      </c>
      <c r="CS4" s="475">
        <v>15969</v>
      </c>
      <c r="CT4" s="475">
        <v>5308</v>
      </c>
      <c r="CU4" s="475">
        <v>52949</v>
      </c>
      <c r="CV4" s="475" t="s">
        <v>714</v>
      </c>
      <c r="CW4" s="475">
        <v>1031</v>
      </c>
      <c r="CX4" s="475">
        <v>35203</v>
      </c>
      <c r="CY4" s="475">
        <v>271036</v>
      </c>
      <c r="CZ4" s="475">
        <v>35602</v>
      </c>
      <c r="DA4" s="475">
        <v>1543009</v>
      </c>
      <c r="DB4" s="475">
        <v>179</v>
      </c>
      <c r="DC4" s="475">
        <v>673</v>
      </c>
      <c r="DD4" s="475">
        <v>68412</v>
      </c>
      <c r="DE4" s="475">
        <v>2336943</v>
      </c>
      <c r="DF4" s="475">
        <v>96697</v>
      </c>
      <c r="DG4" s="475">
        <v>535436</v>
      </c>
      <c r="DH4" s="475">
        <v>211048</v>
      </c>
      <c r="DI4" s="475">
        <v>25748</v>
      </c>
      <c r="DJ4" s="475">
        <v>44552</v>
      </c>
      <c r="DK4" s="475">
        <v>16840</v>
      </c>
      <c r="DL4" s="475">
        <v>85764</v>
      </c>
      <c r="DM4" s="475">
        <v>30</v>
      </c>
      <c r="DN4" s="475">
        <v>157939</v>
      </c>
      <c r="DO4" s="475">
        <v>52842</v>
      </c>
      <c r="DP4" s="475">
        <v>0</v>
      </c>
      <c r="DQ4" s="475">
        <v>0</v>
      </c>
      <c r="DR4" s="475">
        <v>0</v>
      </c>
      <c r="DS4" s="475">
        <v>0</v>
      </c>
      <c r="DT4" s="475">
        <v>0</v>
      </c>
      <c r="DU4" s="475">
        <v>0</v>
      </c>
      <c r="DV4" s="475">
        <v>0</v>
      </c>
      <c r="DW4" s="475">
        <v>0</v>
      </c>
      <c r="DX4" s="475">
        <v>939</v>
      </c>
      <c r="DY4" s="475">
        <v>11110</v>
      </c>
      <c r="DZ4" s="475">
        <v>0</v>
      </c>
      <c r="EA4" s="475">
        <v>0</v>
      </c>
      <c r="EB4" s="475">
        <v>1830</v>
      </c>
      <c r="EC4" s="475">
        <v>900</v>
      </c>
      <c r="ED4" s="475">
        <v>38623</v>
      </c>
      <c r="EE4" s="475">
        <v>87086</v>
      </c>
      <c r="EF4" s="475">
        <v>10134</v>
      </c>
      <c r="EG4" s="475">
        <v>154081</v>
      </c>
      <c r="EH4" s="475">
        <v>501</v>
      </c>
      <c r="EI4" s="475">
        <v>195</v>
      </c>
      <c r="EJ4" s="475">
        <v>0</v>
      </c>
      <c r="EK4" s="475">
        <v>0</v>
      </c>
      <c r="EL4" s="475">
        <v>54613</v>
      </c>
      <c r="EM4" s="475">
        <v>265370</v>
      </c>
      <c r="EN4" s="475">
        <v>6107</v>
      </c>
      <c r="EO4" s="475">
        <v>85729</v>
      </c>
      <c r="EP4" s="476">
        <v>0</v>
      </c>
      <c r="EQ4" s="476">
        <v>0</v>
      </c>
      <c r="ER4" s="476">
        <v>0</v>
      </c>
      <c r="ES4" s="476">
        <v>0</v>
      </c>
      <c r="ET4" s="476">
        <v>0</v>
      </c>
      <c r="EU4" s="476">
        <v>0</v>
      </c>
    </row>
    <row r="5" spans="1:151" ht="15.5">
      <c r="A5" s="474" t="s">
        <v>715</v>
      </c>
      <c r="B5" s="475">
        <v>36737</v>
      </c>
      <c r="C5" s="475">
        <v>0</v>
      </c>
      <c r="D5" s="475">
        <v>511178</v>
      </c>
      <c r="E5" s="475">
        <v>-509630</v>
      </c>
      <c r="F5" s="475">
        <v>0</v>
      </c>
      <c r="G5" s="475">
        <v>309349</v>
      </c>
      <c r="H5" s="475">
        <v>0</v>
      </c>
      <c r="I5" s="475">
        <v>0</v>
      </c>
      <c r="J5" s="475">
        <v>10581</v>
      </c>
      <c r="K5" s="475">
        <v>359109</v>
      </c>
      <c r="L5" s="475">
        <v>2277</v>
      </c>
      <c r="M5" s="475">
        <v>8362</v>
      </c>
      <c r="N5" s="475">
        <v>277</v>
      </c>
      <c r="O5" s="475">
        <v>196</v>
      </c>
      <c r="P5" s="475">
        <v>1441</v>
      </c>
      <c r="Q5" s="475">
        <v>32921</v>
      </c>
      <c r="R5" s="475">
        <v>679</v>
      </c>
      <c r="S5" s="475">
        <v>1715</v>
      </c>
      <c r="T5" s="475">
        <v>0</v>
      </c>
      <c r="U5" s="475">
        <v>0</v>
      </c>
      <c r="V5" s="475"/>
      <c r="W5" s="475"/>
      <c r="X5" s="475">
        <v>111</v>
      </c>
      <c r="Y5" s="475">
        <v>-333</v>
      </c>
      <c r="Z5" s="475">
        <v>0</v>
      </c>
      <c r="AA5" s="475">
        <v>0</v>
      </c>
      <c r="AB5" s="475">
        <v>112</v>
      </c>
      <c r="AC5" s="475">
        <v>-1977</v>
      </c>
      <c r="AD5" s="475">
        <v>111</v>
      </c>
      <c r="AE5" s="475">
        <v>-3586</v>
      </c>
      <c r="AF5" s="475">
        <v>0</v>
      </c>
      <c r="AG5" s="475">
        <v>0</v>
      </c>
      <c r="AH5" s="475">
        <v>111</v>
      </c>
      <c r="AI5" s="475">
        <v>38</v>
      </c>
      <c r="AJ5" s="475">
        <v>0</v>
      </c>
      <c r="AK5" s="475">
        <v>0</v>
      </c>
      <c r="AL5" s="475">
        <v>0</v>
      </c>
      <c r="AM5" s="475">
        <v>0</v>
      </c>
      <c r="AN5" s="475"/>
      <c r="AO5" s="475"/>
      <c r="AP5" s="475">
        <v>11557</v>
      </c>
      <c r="AQ5" s="475">
        <v>223071</v>
      </c>
      <c r="AR5" s="475">
        <v>3042</v>
      </c>
      <c r="AS5" s="475">
        <v>104524</v>
      </c>
      <c r="AT5" s="475">
        <v>22066</v>
      </c>
      <c r="AU5" s="475">
        <v>525231</v>
      </c>
      <c r="AV5" s="475">
        <v>0</v>
      </c>
      <c r="AW5" s="475">
        <v>0</v>
      </c>
      <c r="AX5" s="475">
        <v>0</v>
      </c>
      <c r="AY5" s="475">
        <v>0</v>
      </c>
      <c r="AZ5" s="475">
        <v>1833</v>
      </c>
      <c r="BA5" s="475">
        <v>5314</v>
      </c>
      <c r="BB5" s="475">
        <v>0</v>
      </c>
      <c r="BC5" s="475">
        <v>0</v>
      </c>
      <c r="BD5" s="475">
        <v>567</v>
      </c>
      <c r="BE5" s="475">
        <v>120</v>
      </c>
      <c r="BF5" s="475">
        <v>568</v>
      </c>
      <c r="BG5" s="475">
        <v>1581</v>
      </c>
      <c r="BH5" s="475">
        <v>0</v>
      </c>
      <c r="BI5" s="475">
        <v>0</v>
      </c>
      <c r="BJ5" s="475">
        <v>0</v>
      </c>
      <c r="BK5" s="475">
        <v>0</v>
      </c>
      <c r="BL5" s="475" t="s">
        <v>714</v>
      </c>
      <c r="BM5" s="475">
        <v>259</v>
      </c>
      <c r="BN5" s="475">
        <v>0</v>
      </c>
      <c r="BO5" s="475">
        <v>0</v>
      </c>
      <c r="BP5" s="475">
        <v>2489</v>
      </c>
      <c r="BQ5" s="475">
        <v>7430</v>
      </c>
      <c r="BR5" s="475">
        <v>19135</v>
      </c>
      <c r="BS5" s="475">
        <v>567495</v>
      </c>
      <c r="BT5" s="475">
        <v>2597</v>
      </c>
      <c r="BU5" s="475">
        <v>57864</v>
      </c>
      <c r="BV5" s="475">
        <v>503</v>
      </c>
      <c r="BW5" s="475">
        <v>77098</v>
      </c>
      <c r="BX5" s="475">
        <v>702</v>
      </c>
      <c r="BY5" s="475">
        <v>1773</v>
      </c>
      <c r="BZ5" s="475">
        <v>567</v>
      </c>
      <c r="CA5" s="475">
        <v>4014</v>
      </c>
      <c r="CB5" s="475">
        <v>168</v>
      </c>
      <c r="CC5" s="475">
        <v>49</v>
      </c>
      <c r="CD5" s="475">
        <v>111</v>
      </c>
      <c r="CE5" s="475">
        <v>122</v>
      </c>
      <c r="CF5" s="475">
        <v>1048</v>
      </c>
      <c r="CG5" s="475">
        <v>5959</v>
      </c>
      <c r="CH5" s="475">
        <v>789</v>
      </c>
      <c r="CI5" s="475">
        <v>10680</v>
      </c>
      <c r="CJ5" s="475"/>
      <c r="CK5" s="475"/>
      <c r="CL5" s="475">
        <v>790</v>
      </c>
      <c r="CM5" s="475">
        <v>10682</v>
      </c>
      <c r="CN5" s="475">
        <v>147</v>
      </c>
      <c r="CO5" s="475">
        <v>1207</v>
      </c>
      <c r="CP5" s="475">
        <v>55</v>
      </c>
      <c r="CQ5" s="475">
        <v>38</v>
      </c>
      <c r="CR5" s="475">
        <v>0</v>
      </c>
      <c r="CS5" s="475">
        <v>0</v>
      </c>
      <c r="CT5" s="475">
        <v>201</v>
      </c>
      <c r="CU5" s="475">
        <v>1245</v>
      </c>
      <c r="CV5" s="475">
        <v>0</v>
      </c>
      <c r="CW5" s="475">
        <v>0</v>
      </c>
      <c r="CX5" s="475">
        <v>1637</v>
      </c>
      <c r="CY5" s="475">
        <v>1224</v>
      </c>
      <c r="CZ5" s="475">
        <v>1162</v>
      </c>
      <c r="DA5" s="475">
        <v>94975</v>
      </c>
      <c r="DB5" s="475">
        <v>0</v>
      </c>
      <c r="DC5" s="475">
        <v>0</v>
      </c>
      <c r="DD5" s="475">
        <v>2713</v>
      </c>
      <c r="DE5" s="475">
        <v>120931</v>
      </c>
      <c r="DF5" s="475">
        <v>34024</v>
      </c>
      <c r="DG5" s="475">
        <v>188418</v>
      </c>
      <c r="DH5" s="475">
        <v>40778</v>
      </c>
      <c r="DI5" s="475">
        <v>4975</v>
      </c>
      <c r="DJ5" s="475">
        <v>11427</v>
      </c>
      <c r="DK5" s="475">
        <v>4320</v>
      </c>
      <c r="DL5" s="475">
        <v>9683</v>
      </c>
      <c r="DM5" s="475">
        <v>0</v>
      </c>
      <c r="DN5" s="475">
        <v>34671</v>
      </c>
      <c r="DO5" s="475">
        <v>10449</v>
      </c>
      <c r="DP5" s="475">
        <v>0</v>
      </c>
      <c r="DQ5" s="475">
        <v>0</v>
      </c>
      <c r="DR5" s="475">
        <v>0</v>
      </c>
      <c r="DS5" s="475">
        <v>0</v>
      </c>
      <c r="DT5" s="475">
        <v>0</v>
      </c>
      <c r="DU5" s="475">
        <v>0</v>
      </c>
      <c r="DV5" s="475">
        <v>0</v>
      </c>
      <c r="DW5" s="475">
        <v>0</v>
      </c>
      <c r="DX5" s="475">
        <v>0</v>
      </c>
      <c r="DY5" s="475">
        <v>0</v>
      </c>
      <c r="DZ5" s="475">
        <v>0</v>
      </c>
      <c r="EA5" s="475">
        <v>0</v>
      </c>
      <c r="EB5" s="475">
        <v>0</v>
      </c>
      <c r="EC5" s="475">
        <v>0</v>
      </c>
      <c r="ED5" s="475">
        <v>7794</v>
      </c>
      <c r="EE5" s="475">
        <v>8957</v>
      </c>
      <c r="EF5" s="475">
        <v>223</v>
      </c>
      <c r="EG5" s="475">
        <v>345</v>
      </c>
      <c r="EH5" s="475">
        <v>0</v>
      </c>
      <c r="EI5" s="475">
        <v>0</v>
      </c>
      <c r="EJ5" s="475">
        <v>0</v>
      </c>
      <c r="EK5" s="475">
        <v>0</v>
      </c>
      <c r="EL5" s="475">
        <v>10241</v>
      </c>
      <c r="EM5" s="475">
        <v>11278</v>
      </c>
      <c r="EN5" s="475">
        <v>222</v>
      </c>
      <c r="EO5" s="475">
        <v>343</v>
      </c>
      <c r="EP5" s="476">
        <v>0</v>
      </c>
      <c r="EQ5" s="476">
        <v>0</v>
      </c>
      <c r="ER5" s="476">
        <v>0</v>
      </c>
      <c r="ES5" s="476">
        <v>0</v>
      </c>
      <c r="ET5" s="476">
        <v>0</v>
      </c>
      <c r="EU5" s="476">
        <v>0</v>
      </c>
    </row>
    <row r="6" spans="1:151" ht="15.5">
      <c r="A6" s="474" t="s">
        <v>716</v>
      </c>
      <c r="B6" s="475">
        <v>166110</v>
      </c>
      <c r="C6" s="475">
        <v>667</v>
      </c>
      <c r="D6" s="475">
        <v>249306</v>
      </c>
      <c r="E6" s="475">
        <v>-182742</v>
      </c>
      <c r="F6" s="475">
        <v>66564</v>
      </c>
      <c r="G6" s="475">
        <v>928077</v>
      </c>
      <c r="H6" s="475">
        <v>0</v>
      </c>
      <c r="I6" s="475">
        <v>3</v>
      </c>
      <c r="J6" s="475">
        <v>59387</v>
      </c>
      <c r="K6" s="475">
        <v>287477</v>
      </c>
      <c r="L6" s="475">
        <v>54923</v>
      </c>
      <c r="M6" s="475">
        <v>9771</v>
      </c>
      <c r="N6" s="475">
        <v>14739</v>
      </c>
      <c r="O6" s="475">
        <v>7427</v>
      </c>
      <c r="P6" s="475">
        <v>7958</v>
      </c>
      <c r="Q6" s="475">
        <v>30025</v>
      </c>
      <c r="R6" s="475">
        <v>45232</v>
      </c>
      <c r="S6" s="475">
        <v>44553</v>
      </c>
      <c r="T6" s="475">
        <v>1920</v>
      </c>
      <c r="U6" s="475">
        <v>-7948</v>
      </c>
      <c r="V6" s="475">
        <v>6062</v>
      </c>
      <c r="W6" s="475">
        <v>7091</v>
      </c>
      <c r="X6" s="475">
        <v>5362</v>
      </c>
      <c r="Y6" s="475">
        <v>-8313</v>
      </c>
      <c r="Z6" s="475">
        <v>2426</v>
      </c>
      <c r="AA6" s="475">
        <v>7282</v>
      </c>
      <c r="AB6" s="475">
        <v>2060</v>
      </c>
      <c r="AC6" s="475">
        <v>-17945</v>
      </c>
      <c r="AD6" s="475">
        <v>1516</v>
      </c>
      <c r="AE6" s="475">
        <v>16523</v>
      </c>
      <c r="AF6" s="475">
        <v>1741</v>
      </c>
      <c r="AG6" s="475">
        <v>26415</v>
      </c>
      <c r="AH6" s="475">
        <v>56</v>
      </c>
      <c r="AI6" s="475">
        <v>369</v>
      </c>
      <c r="AJ6" s="475">
        <v>0</v>
      </c>
      <c r="AK6" s="475">
        <v>0</v>
      </c>
      <c r="AL6" s="475">
        <v>111</v>
      </c>
      <c r="AM6" s="475">
        <v>1121</v>
      </c>
      <c r="AN6" s="475">
        <v>122</v>
      </c>
      <c r="AO6" s="475">
        <v>-1117</v>
      </c>
      <c r="AP6" s="475">
        <v>21169</v>
      </c>
      <c r="AQ6" s="475">
        <v>132626</v>
      </c>
      <c r="AR6" s="475">
        <v>7248</v>
      </c>
      <c r="AS6" s="475">
        <v>178955</v>
      </c>
      <c r="AT6" s="475">
        <v>165554</v>
      </c>
      <c r="AU6" s="475">
        <v>303798</v>
      </c>
      <c r="AV6" s="475">
        <v>833</v>
      </c>
      <c r="AW6" s="475">
        <v>3094</v>
      </c>
      <c r="AX6" s="475">
        <v>2177</v>
      </c>
      <c r="AY6" s="475">
        <v>2689</v>
      </c>
      <c r="AZ6" s="475">
        <v>2678</v>
      </c>
      <c r="BA6" s="475">
        <v>6779</v>
      </c>
      <c r="BB6" s="475">
        <v>0</v>
      </c>
      <c r="BC6" s="475">
        <v>0</v>
      </c>
      <c r="BD6" s="475">
        <v>21856</v>
      </c>
      <c r="BE6" s="475">
        <v>2960</v>
      </c>
      <c r="BF6" s="475">
        <v>2892</v>
      </c>
      <c r="BG6" s="475">
        <v>7379</v>
      </c>
      <c r="BH6" s="475">
        <v>0</v>
      </c>
      <c r="BI6" s="475">
        <v>0</v>
      </c>
      <c r="BJ6" s="475">
        <v>223</v>
      </c>
      <c r="BK6" s="475">
        <v>12</v>
      </c>
      <c r="BL6" s="475">
        <v>0</v>
      </c>
      <c r="BM6" s="475">
        <v>0</v>
      </c>
      <c r="BN6" s="475">
        <v>0</v>
      </c>
      <c r="BO6" s="475">
        <v>0</v>
      </c>
      <c r="BP6" s="475">
        <v>26046</v>
      </c>
      <c r="BQ6" s="475">
        <v>22982</v>
      </c>
      <c r="BR6" s="475">
        <v>15519</v>
      </c>
      <c r="BS6" s="475">
        <v>301784</v>
      </c>
      <c r="BT6" s="475">
        <v>8689</v>
      </c>
      <c r="BU6" s="475">
        <v>119042</v>
      </c>
      <c r="BV6" s="475">
        <v>2918</v>
      </c>
      <c r="BW6" s="475">
        <v>23174</v>
      </c>
      <c r="BX6" s="475">
        <v>4314</v>
      </c>
      <c r="BY6" s="475">
        <v>11488</v>
      </c>
      <c r="BZ6" s="475">
        <v>4262</v>
      </c>
      <c r="CA6" s="475">
        <v>27883</v>
      </c>
      <c r="CB6" s="475">
        <v>2084</v>
      </c>
      <c r="CC6" s="475">
        <v>1732</v>
      </c>
      <c r="CD6" s="475" t="s">
        <v>714</v>
      </c>
      <c r="CE6" s="475">
        <v>11</v>
      </c>
      <c r="CF6" s="475">
        <v>5320</v>
      </c>
      <c r="CG6" s="475">
        <v>41115</v>
      </c>
      <c r="CH6" s="475">
        <v>4262</v>
      </c>
      <c r="CI6" s="475">
        <v>62892</v>
      </c>
      <c r="CJ6" s="475">
        <v>404</v>
      </c>
      <c r="CK6" s="475">
        <v>597</v>
      </c>
      <c r="CL6" s="475">
        <v>4262</v>
      </c>
      <c r="CM6" s="475">
        <v>63489</v>
      </c>
      <c r="CN6" s="475">
        <v>1662</v>
      </c>
      <c r="CO6" s="475">
        <v>1740</v>
      </c>
      <c r="CP6" s="475">
        <v>913</v>
      </c>
      <c r="CQ6" s="475">
        <v>726</v>
      </c>
      <c r="CR6" s="475">
        <v>222</v>
      </c>
      <c r="CS6" s="475">
        <v>482</v>
      </c>
      <c r="CT6" s="475">
        <v>2338</v>
      </c>
      <c r="CU6" s="475">
        <v>2949</v>
      </c>
      <c r="CV6" s="475">
        <v>0</v>
      </c>
      <c r="CW6" s="475">
        <v>0</v>
      </c>
      <c r="CX6" s="475">
        <v>7054</v>
      </c>
      <c r="CY6" s="475">
        <v>20574</v>
      </c>
      <c r="CZ6" s="475">
        <v>5320</v>
      </c>
      <c r="DA6" s="475">
        <v>133326</v>
      </c>
      <c r="DB6" s="475" t="s">
        <v>714</v>
      </c>
      <c r="DC6" s="475">
        <v>-56</v>
      </c>
      <c r="DD6" s="475">
        <v>18300</v>
      </c>
      <c r="DE6" s="475">
        <v>265882</v>
      </c>
      <c r="DF6" s="475">
        <v>147699</v>
      </c>
      <c r="DG6" s="475">
        <v>662195</v>
      </c>
      <c r="DH6" s="475">
        <v>151716</v>
      </c>
      <c r="DI6" s="475">
        <v>18509</v>
      </c>
      <c r="DJ6" s="475">
        <v>21598</v>
      </c>
      <c r="DK6" s="475">
        <v>8164</v>
      </c>
      <c r="DL6" s="475">
        <v>48862</v>
      </c>
      <c r="DM6" s="475">
        <v>54</v>
      </c>
      <c r="DN6" s="475">
        <v>131818</v>
      </c>
      <c r="DO6" s="475">
        <v>32611</v>
      </c>
      <c r="DP6" s="475">
        <v>0</v>
      </c>
      <c r="DQ6" s="475">
        <v>0</v>
      </c>
      <c r="DR6" s="475">
        <v>0</v>
      </c>
      <c r="DS6" s="475">
        <v>0</v>
      </c>
      <c r="DT6" s="475">
        <v>0</v>
      </c>
      <c r="DU6" s="475">
        <v>0</v>
      </c>
      <c r="DV6" s="475">
        <v>0</v>
      </c>
      <c r="DW6" s="475">
        <v>0</v>
      </c>
      <c r="DX6" s="475">
        <v>0</v>
      </c>
      <c r="DY6" s="475">
        <v>0</v>
      </c>
      <c r="DZ6" s="475">
        <v>0</v>
      </c>
      <c r="EA6" s="475">
        <v>0</v>
      </c>
      <c r="EB6" s="475">
        <v>667</v>
      </c>
      <c r="EC6" s="475">
        <v>3</v>
      </c>
      <c r="ED6" s="475">
        <v>21312</v>
      </c>
      <c r="EE6" s="475">
        <v>6965</v>
      </c>
      <c r="EF6" s="475">
        <v>944</v>
      </c>
      <c r="EG6" s="475">
        <v>297</v>
      </c>
      <c r="EH6" s="475">
        <v>0</v>
      </c>
      <c r="EI6" s="475">
        <v>0</v>
      </c>
      <c r="EJ6" s="475">
        <v>0</v>
      </c>
      <c r="EK6" s="475">
        <v>0</v>
      </c>
      <c r="EL6" s="475">
        <v>72286</v>
      </c>
      <c r="EM6" s="475">
        <v>15134</v>
      </c>
      <c r="EN6" s="475">
        <v>667</v>
      </c>
      <c r="EO6" s="475">
        <v>213</v>
      </c>
      <c r="EP6" s="476">
        <v>0</v>
      </c>
      <c r="EQ6" s="476">
        <v>0</v>
      </c>
      <c r="ER6" s="476">
        <v>0</v>
      </c>
      <c r="ES6" s="476">
        <v>0</v>
      </c>
      <c r="ET6" s="476">
        <v>0</v>
      </c>
      <c r="EU6" s="476">
        <v>0</v>
      </c>
    </row>
    <row r="7" spans="1:151" ht="15.5">
      <c r="A7" s="474" t="s">
        <v>717</v>
      </c>
      <c r="B7" s="475">
        <v>143543</v>
      </c>
      <c r="C7" s="475">
        <v>5595</v>
      </c>
      <c r="D7" s="475">
        <v>252525</v>
      </c>
      <c r="E7" s="475">
        <v>-36055</v>
      </c>
      <c r="F7" s="475">
        <v>216470</v>
      </c>
      <c r="G7" s="475">
        <v>732143</v>
      </c>
      <c r="H7" s="475">
        <v>2312</v>
      </c>
      <c r="I7" s="475">
        <v>32</v>
      </c>
      <c r="J7" s="475">
        <v>91386</v>
      </c>
      <c r="K7" s="475">
        <v>228168</v>
      </c>
      <c r="L7" s="475">
        <v>21694</v>
      </c>
      <c r="M7" s="475">
        <v>12358</v>
      </c>
      <c r="N7" s="475">
        <v>11834</v>
      </c>
      <c r="O7" s="475">
        <v>12407</v>
      </c>
      <c r="P7" s="475">
        <v>9394</v>
      </c>
      <c r="Q7" s="475">
        <v>21606</v>
      </c>
      <c r="R7" s="475">
        <v>30807</v>
      </c>
      <c r="S7" s="475">
        <v>57044</v>
      </c>
      <c r="T7" s="475">
        <v>3509</v>
      </c>
      <c r="U7" s="475">
        <v>-15373</v>
      </c>
      <c r="V7" s="475">
        <v>6497</v>
      </c>
      <c r="W7" s="475">
        <v>14350</v>
      </c>
      <c r="X7" s="475">
        <v>5619</v>
      </c>
      <c r="Y7" s="475">
        <v>-10397</v>
      </c>
      <c r="Z7" s="475">
        <v>2856</v>
      </c>
      <c r="AA7" s="475">
        <v>6290</v>
      </c>
      <c r="AB7" s="475">
        <v>1993</v>
      </c>
      <c r="AC7" s="475">
        <v>-23714</v>
      </c>
      <c r="AD7" s="475">
        <v>1757</v>
      </c>
      <c r="AE7" s="475">
        <v>45948</v>
      </c>
      <c r="AF7" s="475">
        <v>1585</v>
      </c>
      <c r="AG7" s="475">
        <v>55760</v>
      </c>
      <c r="AH7" s="475">
        <v>164</v>
      </c>
      <c r="AI7" s="475">
        <v>2422</v>
      </c>
      <c r="AJ7" s="475">
        <v>0</v>
      </c>
      <c r="AK7" s="475">
        <v>0</v>
      </c>
      <c r="AL7" s="475" t="s">
        <v>714</v>
      </c>
      <c r="AM7" s="475">
        <v>3</v>
      </c>
      <c r="AN7" s="475">
        <v>224</v>
      </c>
      <c r="AO7" s="475">
        <v>-1913</v>
      </c>
      <c r="AP7" s="475">
        <v>16694</v>
      </c>
      <c r="AQ7" s="475">
        <v>110000</v>
      </c>
      <c r="AR7" s="475">
        <v>3991</v>
      </c>
      <c r="AS7" s="475">
        <v>110549</v>
      </c>
      <c r="AT7" s="475">
        <v>143543</v>
      </c>
      <c r="AU7" s="475">
        <v>292892</v>
      </c>
      <c r="AV7" s="475">
        <v>334</v>
      </c>
      <c r="AW7" s="475">
        <v>1496</v>
      </c>
      <c r="AX7" s="475">
        <v>2891</v>
      </c>
      <c r="AY7" s="475">
        <v>2474</v>
      </c>
      <c r="AZ7" s="475">
        <v>2001</v>
      </c>
      <c r="BA7" s="475">
        <v>6583</v>
      </c>
      <c r="BB7" s="475">
        <v>0</v>
      </c>
      <c r="BC7" s="475">
        <v>0</v>
      </c>
      <c r="BD7" s="475">
        <v>29597</v>
      </c>
      <c r="BE7" s="475">
        <v>5827</v>
      </c>
      <c r="BF7" s="475">
        <v>2448</v>
      </c>
      <c r="BG7" s="475">
        <v>7656</v>
      </c>
      <c r="BH7" s="475">
        <v>111</v>
      </c>
      <c r="BI7" s="475">
        <v>220</v>
      </c>
      <c r="BJ7" s="475">
        <v>277</v>
      </c>
      <c r="BK7" s="475">
        <v>16</v>
      </c>
      <c r="BL7" s="475">
        <v>122</v>
      </c>
      <c r="BM7" s="475">
        <v>398</v>
      </c>
      <c r="BN7" s="475">
        <v>0</v>
      </c>
      <c r="BO7" s="475">
        <v>0</v>
      </c>
      <c r="BP7" s="475">
        <v>34264</v>
      </c>
      <c r="BQ7" s="475">
        <v>26006</v>
      </c>
      <c r="BR7" s="475">
        <v>10369</v>
      </c>
      <c r="BS7" s="475">
        <v>157062</v>
      </c>
      <c r="BT7" s="475">
        <v>8874</v>
      </c>
      <c r="BU7" s="475">
        <v>121007</v>
      </c>
      <c r="BV7" s="475">
        <v>1804</v>
      </c>
      <c r="BW7" s="475">
        <v>49384</v>
      </c>
      <c r="BX7" s="475">
        <v>2427</v>
      </c>
      <c r="BY7" s="475">
        <v>46290</v>
      </c>
      <c r="BZ7" s="475">
        <v>1659</v>
      </c>
      <c r="CA7" s="475">
        <v>13892</v>
      </c>
      <c r="CB7" s="475">
        <v>618</v>
      </c>
      <c r="CC7" s="475">
        <v>224</v>
      </c>
      <c r="CD7" s="475">
        <v>122</v>
      </c>
      <c r="CE7" s="475">
        <v>67</v>
      </c>
      <c r="CF7" s="475">
        <v>2673</v>
      </c>
      <c r="CG7" s="475">
        <v>60473</v>
      </c>
      <c r="CH7" s="475">
        <v>1662</v>
      </c>
      <c r="CI7" s="475">
        <v>24041</v>
      </c>
      <c r="CJ7" s="475">
        <v>233</v>
      </c>
      <c r="CK7" s="475">
        <v>1575</v>
      </c>
      <c r="CL7" s="475">
        <v>1669</v>
      </c>
      <c r="CM7" s="475">
        <v>25616</v>
      </c>
      <c r="CN7" s="475">
        <v>598</v>
      </c>
      <c r="CO7" s="475">
        <v>1014</v>
      </c>
      <c r="CP7" s="475">
        <v>785</v>
      </c>
      <c r="CQ7" s="475">
        <v>528</v>
      </c>
      <c r="CR7" s="475" t="s">
        <v>714</v>
      </c>
      <c r="CS7" s="475">
        <v>28</v>
      </c>
      <c r="CT7" s="475">
        <v>1154</v>
      </c>
      <c r="CU7" s="475">
        <v>1570</v>
      </c>
      <c r="CV7" s="475">
        <v>0</v>
      </c>
      <c r="CW7" s="475">
        <v>0</v>
      </c>
      <c r="CX7" s="475">
        <v>6356</v>
      </c>
      <c r="CY7" s="475">
        <v>18552</v>
      </c>
      <c r="CZ7" s="475">
        <v>2895</v>
      </c>
      <c r="DA7" s="475">
        <v>89985</v>
      </c>
      <c r="DB7" s="475">
        <v>0</v>
      </c>
      <c r="DC7" s="475">
        <v>0</v>
      </c>
      <c r="DD7" s="475">
        <v>13142</v>
      </c>
      <c r="DE7" s="475">
        <v>180258</v>
      </c>
      <c r="DF7" s="475">
        <v>130401</v>
      </c>
      <c r="DG7" s="475">
        <v>551885</v>
      </c>
      <c r="DH7" s="475">
        <v>108185</v>
      </c>
      <c r="DI7" s="475">
        <v>13199</v>
      </c>
      <c r="DJ7" s="475">
        <v>20326</v>
      </c>
      <c r="DK7" s="475">
        <v>7683</v>
      </c>
      <c r="DL7" s="475">
        <v>27402</v>
      </c>
      <c r="DM7" s="475">
        <v>27</v>
      </c>
      <c r="DN7" s="475">
        <v>95814</v>
      </c>
      <c r="DO7" s="475">
        <v>24215</v>
      </c>
      <c r="DP7" s="475">
        <v>111</v>
      </c>
      <c r="DQ7" s="475">
        <v>0</v>
      </c>
      <c r="DR7" s="475">
        <v>333</v>
      </c>
      <c r="DS7" s="475">
        <v>1</v>
      </c>
      <c r="DT7" s="475">
        <v>222</v>
      </c>
      <c r="DU7" s="475">
        <v>0</v>
      </c>
      <c r="DV7" s="475">
        <v>0</v>
      </c>
      <c r="DW7" s="475">
        <v>0</v>
      </c>
      <c r="DX7" s="475">
        <v>5</v>
      </c>
      <c r="DY7" s="475">
        <v>4</v>
      </c>
      <c r="DZ7" s="475">
        <v>0</v>
      </c>
      <c r="EA7" s="475">
        <v>0</v>
      </c>
      <c r="EB7" s="475">
        <v>477</v>
      </c>
      <c r="EC7" s="475">
        <v>5</v>
      </c>
      <c r="ED7" s="475">
        <v>44936</v>
      </c>
      <c r="EE7" s="475">
        <v>3641</v>
      </c>
      <c r="EF7" s="475">
        <v>1060</v>
      </c>
      <c r="EG7" s="475">
        <v>2730</v>
      </c>
      <c r="EH7" s="475">
        <v>0</v>
      </c>
      <c r="EI7" s="475">
        <v>0</v>
      </c>
      <c r="EJ7" s="475">
        <v>0</v>
      </c>
      <c r="EK7" s="475">
        <v>0</v>
      </c>
      <c r="EL7" s="475">
        <v>84186</v>
      </c>
      <c r="EM7" s="475">
        <v>19402</v>
      </c>
      <c r="EN7" s="475">
        <v>335</v>
      </c>
      <c r="EO7" s="475">
        <v>757</v>
      </c>
      <c r="EP7" s="476">
        <v>0</v>
      </c>
      <c r="EQ7" s="476">
        <v>0</v>
      </c>
      <c r="ER7" s="476">
        <v>0</v>
      </c>
      <c r="ES7" s="476">
        <v>0</v>
      </c>
      <c r="ET7" s="476">
        <v>0</v>
      </c>
      <c r="EU7" s="476">
        <v>0</v>
      </c>
    </row>
    <row r="8" spans="1:151" ht="15.5">
      <c r="A8" s="474" t="s">
        <v>718</v>
      </c>
      <c r="B8" s="475">
        <v>167758</v>
      </c>
      <c r="C8" s="475">
        <v>6501</v>
      </c>
      <c r="D8" s="475">
        <v>485755</v>
      </c>
      <c r="E8" s="475">
        <v>-65237</v>
      </c>
      <c r="F8" s="475">
        <v>420518</v>
      </c>
      <c r="G8" s="475">
        <v>823440</v>
      </c>
      <c r="H8" s="475">
        <v>6030</v>
      </c>
      <c r="I8" s="475">
        <v>192</v>
      </c>
      <c r="J8" s="475">
        <v>113562</v>
      </c>
      <c r="K8" s="475">
        <v>335925</v>
      </c>
      <c r="L8" s="475">
        <v>22788</v>
      </c>
      <c r="M8" s="475">
        <v>18304</v>
      </c>
      <c r="N8" s="475">
        <v>14084</v>
      </c>
      <c r="O8" s="475">
        <v>20116</v>
      </c>
      <c r="P8" s="475">
        <v>10366</v>
      </c>
      <c r="Q8" s="475">
        <v>40071</v>
      </c>
      <c r="R8" s="475">
        <v>37141</v>
      </c>
      <c r="S8" s="475">
        <v>106475</v>
      </c>
      <c r="T8" s="475">
        <v>3067</v>
      </c>
      <c r="U8" s="475">
        <v>-6792</v>
      </c>
      <c r="V8" s="475">
        <v>8459</v>
      </c>
      <c r="W8" s="475">
        <v>13825</v>
      </c>
      <c r="X8" s="475">
        <v>5703</v>
      </c>
      <c r="Y8" s="475">
        <v>-12085</v>
      </c>
      <c r="Z8" s="475">
        <v>2910</v>
      </c>
      <c r="AA8" s="475">
        <v>6507</v>
      </c>
      <c r="AB8" s="475">
        <v>1745</v>
      </c>
      <c r="AC8" s="475">
        <v>-22306</v>
      </c>
      <c r="AD8" s="475">
        <v>1682</v>
      </c>
      <c r="AE8" s="475">
        <v>6018</v>
      </c>
      <c r="AF8" s="475">
        <v>1523</v>
      </c>
      <c r="AG8" s="475">
        <v>18844</v>
      </c>
      <c r="AH8" s="475">
        <v>111</v>
      </c>
      <c r="AI8" s="475">
        <v>200</v>
      </c>
      <c r="AJ8" s="475">
        <v>0</v>
      </c>
      <c r="AK8" s="475">
        <v>0</v>
      </c>
      <c r="AL8" s="475">
        <v>111</v>
      </c>
      <c r="AM8" s="475">
        <v>23</v>
      </c>
      <c r="AN8" s="475">
        <v>111</v>
      </c>
      <c r="AO8" s="475">
        <v>-2387</v>
      </c>
      <c r="AP8" s="475">
        <v>16338</v>
      </c>
      <c r="AQ8" s="475">
        <v>84704</v>
      </c>
      <c r="AR8" s="475">
        <v>2411</v>
      </c>
      <c r="AS8" s="475">
        <v>54151</v>
      </c>
      <c r="AT8" s="475">
        <v>167646</v>
      </c>
      <c r="AU8" s="475">
        <v>515603</v>
      </c>
      <c r="AV8" s="475">
        <v>446</v>
      </c>
      <c r="AW8" s="475">
        <v>1356</v>
      </c>
      <c r="AX8" s="475">
        <v>2611</v>
      </c>
      <c r="AY8" s="475">
        <v>2621</v>
      </c>
      <c r="AZ8" s="475">
        <v>2166</v>
      </c>
      <c r="BA8" s="475">
        <v>6085</v>
      </c>
      <c r="BB8" s="475">
        <v>0</v>
      </c>
      <c r="BC8" s="475">
        <v>0</v>
      </c>
      <c r="BD8" s="475">
        <v>36243</v>
      </c>
      <c r="BE8" s="475">
        <v>7897</v>
      </c>
      <c r="BF8" s="475">
        <v>2139</v>
      </c>
      <c r="BG8" s="475">
        <v>5570</v>
      </c>
      <c r="BH8" s="475" t="s">
        <v>714</v>
      </c>
      <c r="BI8" s="475">
        <v>21</v>
      </c>
      <c r="BJ8" s="475">
        <v>333</v>
      </c>
      <c r="BK8" s="475">
        <v>15</v>
      </c>
      <c r="BL8" s="475">
        <v>111</v>
      </c>
      <c r="BM8" s="475">
        <v>1734</v>
      </c>
      <c r="BN8" s="475">
        <v>0</v>
      </c>
      <c r="BO8" s="475">
        <v>0</v>
      </c>
      <c r="BP8" s="475">
        <v>40408</v>
      </c>
      <c r="BQ8" s="475">
        <v>28579</v>
      </c>
      <c r="BR8" s="475">
        <v>9533</v>
      </c>
      <c r="BS8" s="475">
        <v>131491</v>
      </c>
      <c r="BT8" s="475">
        <v>6758</v>
      </c>
      <c r="BU8" s="475">
        <v>66254</v>
      </c>
      <c r="BV8" s="475">
        <v>1746</v>
      </c>
      <c r="BW8" s="475">
        <v>14721</v>
      </c>
      <c r="BX8" s="475">
        <v>2101</v>
      </c>
      <c r="BY8" s="475">
        <v>3828</v>
      </c>
      <c r="BZ8" s="475">
        <v>1669</v>
      </c>
      <c r="CA8" s="475">
        <v>9202</v>
      </c>
      <c r="CB8" s="475">
        <v>1610</v>
      </c>
      <c r="CC8" s="475">
        <v>788</v>
      </c>
      <c r="CD8" s="475">
        <v>112</v>
      </c>
      <c r="CE8" s="475">
        <v>24</v>
      </c>
      <c r="CF8" s="475">
        <v>2336</v>
      </c>
      <c r="CG8" s="475">
        <v>13840</v>
      </c>
      <c r="CH8" s="475">
        <v>1224</v>
      </c>
      <c r="CI8" s="475">
        <v>13651</v>
      </c>
      <c r="CJ8" s="475">
        <v>166</v>
      </c>
      <c r="CK8" s="475">
        <v>9</v>
      </c>
      <c r="CL8" s="475">
        <v>1335</v>
      </c>
      <c r="CM8" s="475">
        <v>13659</v>
      </c>
      <c r="CN8" s="475">
        <v>1201</v>
      </c>
      <c r="CO8" s="475">
        <v>1377</v>
      </c>
      <c r="CP8" s="475">
        <v>610</v>
      </c>
      <c r="CQ8" s="475">
        <v>287</v>
      </c>
      <c r="CR8" s="475">
        <v>222</v>
      </c>
      <c r="CS8" s="475">
        <v>275</v>
      </c>
      <c r="CT8" s="475">
        <v>1421</v>
      </c>
      <c r="CU8" s="475">
        <v>1940</v>
      </c>
      <c r="CV8" s="475">
        <v>0</v>
      </c>
      <c r="CW8" s="475">
        <v>0</v>
      </c>
      <c r="CX8" s="475">
        <v>4828</v>
      </c>
      <c r="CY8" s="475">
        <v>4629</v>
      </c>
      <c r="CZ8" s="475">
        <v>2336</v>
      </c>
      <c r="DA8" s="475">
        <v>41576</v>
      </c>
      <c r="DB8" s="475">
        <v>111</v>
      </c>
      <c r="DC8" s="475">
        <v>256</v>
      </c>
      <c r="DD8" s="475">
        <v>9916</v>
      </c>
      <c r="DE8" s="475">
        <v>123483</v>
      </c>
      <c r="DF8" s="475">
        <v>157842</v>
      </c>
      <c r="DG8" s="475">
        <v>699956</v>
      </c>
      <c r="DH8" s="475">
        <v>124733</v>
      </c>
      <c r="DI8" s="475">
        <v>15217</v>
      </c>
      <c r="DJ8" s="475">
        <v>23035</v>
      </c>
      <c r="DK8" s="475">
        <v>8707</v>
      </c>
      <c r="DL8" s="475">
        <v>25857</v>
      </c>
      <c r="DM8" s="475">
        <v>14</v>
      </c>
      <c r="DN8" s="475">
        <v>111036</v>
      </c>
      <c r="DO8" s="475">
        <v>27067</v>
      </c>
      <c r="DP8" s="475">
        <v>0</v>
      </c>
      <c r="DQ8" s="475">
        <v>0</v>
      </c>
      <c r="DR8" s="475">
        <v>445</v>
      </c>
      <c r="DS8" s="475">
        <v>5</v>
      </c>
      <c r="DT8" s="475">
        <v>333</v>
      </c>
      <c r="DU8" s="475">
        <v>4</v>
      </c>
      <c r="DV8" s="475">
        <v>0</v>
      </c>
      <c r="DW8" s="475">
        <v>0</v>
      </c>
      <c r="DX8" s="475">
        <v>0</v>
      </c>
      <c r="DY8" s="475">
        <v>0</v>
      </c>
      <c r="DZ8" s="475">
        <v>0</v>
      </c>
      <c r="EA8" s="475">
        <v>0</v>
      </c>
      <c r="EB8" s="475">
        <v>1722</v>
      </c>
      <c r="EC8" s="475">
        <v>104</v>
      </c>
      <c r="ED8" s="475">
        <v>66101</v>
      </c>
      <c r="EE8" s="475">
        <v>4132</v>
      </c>
      <c r="EF8" s="475">
        <v>1001</v>
      </c>
      <c r="EG8" s="475">
        <v>740</v>
      </c>
      <c r="EH8" s="475">
        <v>32</v>
      </c>
      <c r="EI8" s="475">
        <v>1</v>
      </c>
      <c r="EJ8" s="475">
        <v>0</v>
      </c>
      <c r="EK8" s="475">
        <v>0</v>
      </c>
      <c r="EL8" s="475">
        <v>107686</v>
      </c>
      <c r="EM8" s="475">
        <v>27282</v>
      </c>
      <c r="EN8" s="475">
        <v>446</v>
      </c>
      <c r="EO8" s="475">
        <v>210</v>
      </c>
      <c r="EP8" s="476">
        <v>0</v>
      </c>
      <c r="EQ8" s="476">
        <v>0</v>
      </c>
      <c r="ER8" s="476">
        <v>0</v>
      </c>
      <c r="ES8" s="476">
        <v>0</v>
      </c>
      <c r="ET8" s="476">
        <v>0</v>
      </c>
      <c r="EU8" s="476">
        <v>0</v>
      </c>
    </row>
    <row r="9" spans="1:151" ht="15.5">
      <c r="A9" s="474" t="s">
        <v>719</v>
      </c>
      <c r="B9" s="475">
        <v>181012</v>
      </c>
      <c r="C9" s="475">
        <v>6559</v>
      </c>
      <c r="D9" s="475">
        <v>685706</v>
      </c>
      <c r="E9" s="475">
        <v>-55239</v>
      </c>
      <c r="F9" s="475">
        <v>630467</v>
      </c>
      <c r="G9" s="475">
        <v>991372</v>
      </c>
      <c r="H9" s="475">
        <v>10388</v>
      </c>
      <c r="I9" s="475">
        <v>382</v>
      </c>
      <c r="J9" s="475">
        <v>128302</v>
      </c>
      <c r="K9" s="475">
        <v>504830</v>
      </c>
      <c r="L9" s="475">
        <v>25032</v>
      </c>
      <c r="M9" s="475">
        <v>17699</v>
      </c>
      <c r="N9" s="475">
        <v>16020</v>
      </c>
      <c r="O9" s="475">
        <v>35684</v>
      </c>
      <c r="P9" s="475">
        <v>10796</v>
      </c>
      <c r="Q9" s="475">
        <v>45322</v>
      </c>
      <c r="R9" s="475">
        <v>36821</v>
      </c>
      <c r="S9" s="475">
        <v>126165</v>
      </c>
      <c r="T9" s="475">
        <v>2782</v>
      </c>
      <c r="U9" s="475">
        <v>-14932</v>
      </c>
      <c r="V9" s="475">
        <v>7293</v>
      </c>
      <c r="W9" s="475">
        <v>15371</v>
      </c>
      <c r="X9" s="475">
        <v>6733</v>
      </c>
      <c r="Y9" s="475">
        <v>-14424</v>
      </c>
      <c r="Z9" s="475">
        <v>3013</v>
      </c>
      <c r="AA9" s="475">
        <v>8965</v>
      </c>
      <c r="AB9" s="475">
        <v>1510</v>
      </c>
      <c r="AC9" s="475">
        <v>-14635</v>
      </c>
      <c r="AD9" s="475">
        <v>1451</v>
      </c>
      <c r="AE9" s="475">
        <v>16075</v>
      </c>
      <c r="AF9" s="475">
        <v>1172</v>
      </c>
      <c r="AG9" s="475">
        <v>20013</v>
      </c>
      <c r="AH9" s="475" t="s">
        <v>714</v>
      </c>
      <c r="AI9" s="475">
        <v>172</v>
      </c>
      <c r="AJ9" s="475">
        <v>0</v>
      </c>
      <c r="AK9" s="475">
        <v>0</v>
      </c>
      <c r="AL9" s="475">
        <v>0</v>
      </c>
      <c r="AM9" s="475">
        <v>0</v>
      </c>
      <c r="AN9" s="475">
        <v>111</v>
      </c>
      <c r="AO9" s="475">
        <v>-1378</v>
      </c>
      <c r="AP9" s="475">
        <v>15771</v>
      </c>
      <c r="AQ9" s="475">
        <v>85082</v>
      </c>
      <c r="AR9" s="475">
        <v>3663</v>
      </c>
      <c r="AS9" s="475">
        <v>74335</v>
      </c>
      <c r="AT9" s="475">
        <v>180790</v>
      </c>
      <c r="AU9" s="475">
        <v>715648</v>
      </c>
      <c r="AV9" s="475">
        <v>111</v>
      </c>
      <c r="AW9" s="475">
        <v>178</v>
      </c>
      <c r="AX9" s="475">
        <v>2945</v>
      </c>
      <c r="AY9" s="475">
        <v>2838</v>
      </c>
      <c r="AZ9" s="475">
        <v>2112</v>
      </c>
      <c r="BA9" s="475">
        <v>5837</v>
      </c>
      <c r="BB9" s="475">
        <v>0</v>
      </c>
      <c r="BC9" s="475">
        <v>0</v>
      </c>
      <c r="BD9" s="475">
        <v>35821</v>
      </c>
      <c r="BE9" s="475">
        <v>9338</v>
      </c>
      <c r="BF9" s="475">
        <v>1857</v>
      </c>
      <c r="BG9" s="475">
        <v>5393</v>
      </c>
      <c r="BH9" s="475">
        <v>0</v>
      </c>
      <c r="BI9" s="475">
        <v>0</v>
      </c>
      <c r="BJ9" s="475">
        <v>445</v>
      </c>
      <c r="BK9" s="475">
        <v>16</v>
      </c>
      <c r="BL9" s="475">
        <v>222</v>
      </c>
      <c r="BM9" s="475">
        <v>1128</v>
      </c>
      <c r="BN9" s="475">
        <v>0</v>
      </c>
      <c r="BO9" s="475">
        <v>0</v>
      </c>
      <c r="BP9" s="475">
        <v>40322</v>
      </c>
      <c r="BQ9" s="475">
        <v>25555</v>
      </c>
      <c r="BR9" s="475">
        <v>11757</v>
      </c>
      <c r="BS9" s="475">
        <v>135382</v>
      </c>
      <c r="BT9" s="475">
        <v>8087</v>
      </c>
      <c r="BU9" s="475">
        <v>80143</v>
      </c>
      <c r="BV9" s="475">
        <v>2460</v>
      </c>
      <c r="BW9" s="475">
        <v>38540</v>
      </c>
      <c r="BX9" s="475">
        <v>3330</v>
      </c>
      <c r="BY9" s="475">
        <v>12814</v>
      </c>
      <c r="BZ9" s="475">
        <v>2500</v>
      </c>
      <c r="CA9" s="475">
        <v>13988</v>
      </c>
      <c r="CB9" s="475">
        <v>1594</v>
      </c>
      <c r="CC9" s="475">
        <v>1188</v>
      </c>
      <c r="CD9" s="475">
        <v>111</v>
      </c>
      <c r="CE9" s="475">
        <v>131</v>
      </c>
      <c r="CF9" s="475">
        <v>3723</v>
      </c>
      <c r="CG9" s="475">
        <v>28121</v>
      </c>
      <c r="CH9" s="475">
        <v>2164</v>
      </c>
      <c r="CI9" s="475">
        <v>32023</v>
      </c>
      <c r="CJ9" s="475">
        <v>447</v>
      </c>
      <c r="CK9" s="475">
        <v>315</v>
      </c>
      <c r="CL9" s="475">
        <v>2387</v>
      </c>
      <c r="CM9" s="475">
        <v>32339</v>
      </c>
      <c r="CN9" s="475">
        <v>1314</v>
      </c>
      <c r="CO9" s="475">
        <v>1874</v>
      </c>
      <c r="CP9" s="475">
        <v>502</v>
      </c>
      <c r="CQ9" s="475">
        <v>773</v>
      </c>
      <c r="CR9" s="475">
        <v>166</v>
      </c>
      <c r="CS9" s="475">
        <v>364</v>
      </c>
      <c r="CT9" s="475">
        <v>1314</v>
      </c>
      <c r="CU9" s="475">
        <v>3011</v>
      </c>
      <c r="CV9" s="475">
        <v>0</v>
      </c>
      <c r="CW9" s="475">
        <v>0</v>
      </c>
      <c r="CX9" s="475">
        <v>7587</v>
      </c>
      <c r="CY9" s="475">
        <v>11906</v>
      </c>
      <c r="CZ9" s="475">
        <v>3834</v>
      </c>
      <c r="DA9" s="475">
        <v>92062</v>
      </c>
      <c r="DB9" s="475">
        <v>0</v>
      </c>
      <c r="DC9" s="475">
        <v>0</v>
      </c>
      <c r="DD9" s="475">
        <v>14731</v>
      </c>
      <c r="DE9" s="475">
        <v>195464</v>
      </c>
      <c r="DF9" s="475">
        <v>166281</v>
      </c>
      <c r="DG9" s="475">
        <v>795908</v>
      </c>
      <c r="DH9" s="475">
        <v>138387</v>
      </c>
      <c r="DI9" s="475">
        <v>16883</v>
      </c>
      <c r="DJ9" s="475">
        <v>29739</v>
      </c>
      <c r="DK9" s="475">
        <v>11241</v>
      </c>
      <c r="DL9" s="475">
        <v>24877</v>
      </c>
      <c r="DM9" s="475">
        <v>27</v>
      </c>
      <c r="DN9" s="475">
        <v>125205</v>
      </c>
      <c r="DO9" s="475">
        <v>31155</v>
      </c>
      <c r="DP9" s="475">
        <v>111</v>
      </c>
      <c r="DQ9" s="475">
        <v>1</v>
      </c>
      <c r="DR9" s="475">
        <v>445</v>
      </c>
      <c r="DS9" s="475">
        <v>78</v>
      </c>
      <c r="DT9" s="475">
        <v>111</v>
      </c>
      <c r="DU9" s="475">
        <v>0</v>
      </c>
      <c r="DV9" s="475">
        <v>0</v>
      </c>
      <c r="DW9" s="475">
        <v>0</v>
      </c>
      <c r="DX9" s="475" t="s">
        <v>714</v>
      </c>
      <c r="DY9" s="475">
        <v>25</v>
      </c>
      <c r="DZ9" s="475">
        <v>0</v>
      </c>
      <c r="EA9" s="475">
        <v>0</v>
      </c>
      <c r="EB9" s="475">
        <v>1334</v>
      </c>
      <c r="EC9" s="475">
        <v>30</v>
      </c>
      <c r="ED9" s="475">
        <v>82841</v>
      </c>
      <c r="EE9" s="475">
        <v>5130</v>
      </c>
      <c r="EF9" s="475">
        <v>1947</v>
      </c>
      <c r="EG9" s="475">
        <v>2017</v>
      </c>
      <c r="EH9" s="475" t="s">
        <v>714</v>
      </c>
      <c r="EI9" s="475">
        <v>1</v>
      </c>
      <c r="EJ9" s="475">
        <v>0</v>
      </c>
      <c r="EK9" s="475">
        <v>0</v>
      </c>
      <c r="EL9" s="475">
        <v>129652</v>
      </c>
      <c r="EM9" s="475">
        <v>41741</v>
      </c>
      <c r="EN9" s="475">
        <v>1113</v>
      </c>
      <c r="EO9" s="475">
        <v>892</v>
      </c>
      <c r="EP9" s="476">
        <v>0</v>
      </c>
      <c r="EQ9" s="476">
        <v>0</v>
      </c>
      <c r="ER9" s="476">
        <v>0</v>
      </c>
      <c r="ES9" s="476">
        <v>0</v>
      </c>
      <c r="ET9" s="476">
        <v>0</v>
      </c>
      <c r="EU9" s="476">
        <v>0</v>
      </c>
    </row>
    <row r="10" spans="1:151" ht="15.5">
      <c r="A10" s="474" t="s">
        <v>720</v>
      </c>
      <c r="B10" s="475">
        <v>186889</v>
      </c>
      <c r="C10" s="475">
        <v>26577</v>
      </c>
      <c r="D10" s="475">
        <v>894882</v>
      </c>
      <c r="E10" s="475">
        <v>-52851</v>
      </c>
      <c r="F10" s="475">
        <v>842032</v>
      </c>
      <c r="G10" s="475">
        <v>1086773</v>
      </c>
      <c r="H10" s="475">
        <v>25807</v>
      </c>
      <c r="I10" s="475">
        <v>400</v>
      </c>
      <c r="J10" s="475">
        <v>134992</v>
      </c>
      <c r="K10" s="475">
        <v>655878</v>
      </c>
      <c r="L10" s="475">
        <v>25087</v>
      </c>
      <c r="M10" s="475">
        <v>15441</v>
      </c>
      <c r="N10" s="475">
        <v>12632</v>
      </c>
      <c r="O10" s="475">
        <v>23433</v>
      </c>
      <c r="P10" s="475">
        <v>14110</v>
      </c>
      <c r="Q10" s="475">
        <v>60130</v>
      </c>
      <c r="R10" s="475">
        <v>39777</v>
      </c>
      <c r="S10" s="475">
        <v>183963</v>
      </c>
      <c r="T10" s="475">
        <v>2590</v>
      </c>
      <c r="U10" s="475">
        <v>-17455</v>
      </c>
      <c r="V10" s="475">
        <v>6930</v>
      </c>
      <c r="W10" s="475">
        <v>44332</v>
      </c>
      <c r="X10" s="475">
        <v>5212</v>
      </c>
      <c r="Y10" s="475">
        <v>-10209</v>
      </c>
      <c r="Z10" s="475">
        <v>2727</v>
      </c>
      <c r="AA10" s="475">
        <v>7718</v>
      </c>
      <c r="AB10" s="475">
        <v>1773</v>
      </c>
      <c r="AC10" s="475">
        <v>-25621</v>
      </c>
      <c r="AD10" s="475">
        <v>1735</v>
      </c>
      <c r="AE10" s="475">
        <v>22984</v>
      </c>
      <c r="AF10" s="475">
        <v>1472</v>
      </c>
      <c r="AG10" s="475">
        <v>28949</v>
      </c>
      <c r="AH10" s="475" t="s">
        <v>714</v>
      </c>
      <c r="AI10" s="475">
        <v>6</v>
      </c>
      <c r="AJ10" s="475">
        <v>0</v>
      </c>
      <c r="AK10" s="475">
        <v>0</v>
      </c>
      <c r="AL10" s="475">
        <v>0</v>
      </c>
      <c r="AM10" s="475">
        <v>0</v>
      </c>
      <c r="AN10" s="475">
        <v>222</v>
      </c>
      <c r="AO10" s="475">
        <v>-6896</v>
      </c>
      <c r="AP10" s="475">
        <v>18772</v>
      </c>
      <c r="AQ10" s="475">
        <v>99128</v>
      </c>
      <c r="AR10" s="475">
        <v>3565</v>
      </c>
      <c r="AS10" s="475">
        <v>90144</v>
      </c>
      <c r="AT10" s="475">
        <v>186778</v>
      </c>
      <c r="AU10" s="475">
        <v>933741</v>
      </c>
      <c r="AV10" s="475">
        <v>222</v>
      </c>
      <c r="AW10" s="475">
        <v>800</v>
      </c>
      <c r="AX10" s="475">
        <v>3333</v>
      </c>
      <c r="AY10" s="475">
        <v>2978</v>
      </c>
      <c r="AZ10" s="475">
        <v>2557</v>
      </c>
      <c r="BA10" s="475">
        <v>8210</v>
      </c>
      <c r="BB10" s="475">
        <v>0</v>
      </c>
      <c r="BC10" s="475">
        <v>0</v>
      </c>
      <c r="BD10" s="475">
        <v>38274</v>
      </c>
      <c r="BE10" s="475">
        <v>13121</v>
      </c>
      <c r="BF10" s="475">
        <v>2905</v>
      </c>
      <c r="BG10" s="475">
        <v>12177</v>
      </c>
      <c r="BH10" s="475">
        <v>0</v>
      </c>
      <c r="BI10" s="475">
        <v>0</v>
      </c>
      <c r="BJ10" s="475">
        <v>557</v>
      </c>
      <c r="BK10" s="475">
        <v>13</v>
      </c>
      <c r="BL10" s="475">
        <v>0</v>
      </c>
      <c r="BM10" s="475">
        <v>0</v>
      </c>
      <c r="BN10" s="475">
        <v>0</v>
      </c>
      <c r="BO10" s="475">
        <v>0</v>
      </c>
      <c r="BP10" s="475">
        <v>43000</v>
      </c>
      <c r="BQ10" s="475">
        <v>39344</v>
      </c>
      <c r="BR10" s="475">
        <v>15319</v>
      </c>
      <c r="BS10" s="475">
        <v>157522</v>
      </c>
      <c r="BT10" s="475">
        <v>7771</v>
      </c>
      <c r="BU10" s="475">
        <v>104672</v>
      </c>
      <c r="BV10" s="475">
        <v>2552</v>
      </c>
      <c r="BW10" s="475">
        <v>54109</v>
      </c>
      <c r="BX10" s="475">
        <v>3576</v>
      </c>
      <c r="BY10" s="475">
        <v>3627</v>
      </c>
      <c r="BZ10" s="475">
        <v>2753</v>
      </c>
      <c r="CA10" s="475">
        <v>17306</v>
      </c>
      <c r="CB10" s="475">
        <v>1493</v>
      </c>
      <c r="CC10" s="475">
        <v>502</v>
      </c>
      <c r="CD10" s="475">
        <v>124</v>
      </c>
      <c r="CE10" s="475">
        <v>120</v>
      </c>
      <c r="CF10" s="475">
        <v>3812</v>
      </c>
      <c r="CG10" s="475">
        <v>21554</v>
      </c>
      <c r="CH10" s="475">
        <v>2395</v>
      </c>
      <c r="CI10" s="475">
        <v>28692</v>
      </c>
      <c r="CJ10" s="475">
        <v>293</v>
      </c>
      <c r="CK10" s="475">
        <v>70</v>
      </c>
      <c r="CL10" s="475">
        <v>2564</v>
      </c>
      <c r="CM10" s="475">
        <v>28762</v>
      </c>
      <c r="CN10" s="475">
        <v>1502</v>
      </c>
      <c r="CO10" s="475">
        <v>3248</v>
      </c>
      <c r="CP10" s="475">
        <v>836</v>
      </c>
      <c r="CQ10" s="475">
        <v>453</v>
      </c>
      <c r="CR10" s="475">
        <v>221</v>
      </c>
      <c r="CS10" s="475">
        <v>1496</v>
      </c>
      <c r="CT10" s="475">
        <v>1948</v>
      </c>
      <c r="CU10" s="475">
        <v>5197</v>
      </c>
      <c r="CV10" s="475">
        <v>0</v>
      </c>
      <c r="CW10" s="475">
        <v>0</v>
      </c>
      <c r="CX10" s="475">
        <v>6656</v>
      </c>
      <c r="CY10" s="475">
        <v>11166</v>
      </c>
      <c r="CZ10" s="475">
        <v>4034</v>
      </c>
      <c r="DA10" s="475">
        <v>106583</v>
      </c>
      <c r="DB10" s="475">
        <v>0</v>
      </c>
      <c r="DC10" s="475">
        <v>0</v>
      </c>
      <c r="DD10" s="475">
        <v>13121</v>
      </c>
      <c r="DE10" s="475">
        <v>203191</v>
      </c>
      <c r="DF10" s="475">
        <v>173768</v>
      </c>
      <c r="DG10" s="475">
        <v>883582</v>
      </c>
      <c r="DH10" s="475">
        <v>141823</v>
      </c>
      <c r="DI10" s="475">
        <v>17302</v>
      </c>
      <c r="DJ10" s="475">
        <v>34888</v>
      </c>
      <c r="DK10" s="475">
        <v>13188</v>
      </c>
      <c r="DL10" s="475">
        <v>30779</v>
      </c>
      <c r="DM10" s="475">
        <v>27</v>
      </c>
      <c r="DN10" s="475">
        <v>127193</v>
      </c>
      <c r="DO10" s="475">
        <v>34240</v>
      </c>
      <c r="DP10" s="475">
        <v>0</v>
      </c>
      <c r="DQ10" s="475">
        <v>0</v>
      </c>
      <c r="DR10" s="475">
        <v>2001</v>
      </c>
      <c r="DS10" s="475">
        <v>13</v>
      </c>
      <c r="DT10" s="475">
        <v>2001</v>
      </c>
      <c r="DU10" s="475">
        <v>13</v>
      </c>
      <c r="DV10" s="475">
        <v>0</v>
      </c>
      <c r="DW10" s="475">
        <v>0</v>
      </c>
      <c r="DX10" s="475">
        <v>0</v>
      </c>
      <c r="DY10" s="475">
        <v>0</v>
      </c>
      <c r="DZ10" s="475">
        <v>0</v>
      </c>
      <c r="EA10" s="475">
        <v>0</v>
      </c>
      <c r="EB10" s="475">
        <v>1456</v>
      </c>
      <c r="EC10" s="475">
        <v>32</v>
      </c>
      <c r="ED10" s="475">
        <v>93947</v>
      </c>
      <c r="EE10" s="475">
        <v>6803</v>
      </c>
      <c r="EF10" s="475">
        <v>905</v>
      </c>
      <c r="EG10" s="475">
        <v>558</v>
      </c>
      <c r="EH10" s="475">
        <v>0</v>
      </c>
      <c r="EI10" s="475">
        <v>0</v>
      </c>
      <c r="EJ10" s="475">
        <v>0</v>
      </c>
      <c r="EK10" s="475">
        <v>0</v>
      </c>
      <c r="EL10" s="475">
        <v>136779</v>
      </c>
      <c r="EM10" s="475">
        <v>49713</v>
      </c>
      <c r="EN10" s="475">
        <v>236</v>
      </c>
      <c r="EO10" s="475">
        <v>167</v>
      </c>
      <c r="EP10" s="476">
        <v>0</v>
      </c>
      <c r="EQ10" s="476">
        <v>0</v>
      </c>
      <c r="ER10" s="476">
        <v>0</v>
      </c>
      <c r="ES10" s="476">
        <v>0</v>
      </c>
      <c r="ET10" s="476">
        <v>0</v>
      </c>
      <c r="EU10" s="476">
        <v>0</v>
      </c>
    </row>
    <row r="11" spans="1:151" ht="15.5">
      <c r="A11" s="474" t="s">
        <v>721</v>
      </c>
      <c r="B11" s="475">
        <v>194449</v>
      </c>
      <c r="C11" s="475">
        <v>51695</v>
      </c>
      <c r="D11" s="475">
        <v>1128735</v>
      </c>
      <c r="E11" s="475">
        <v>-59935</v>
      </c>
      <c r="F11" s="475">
        <v>1068801</v>
      </c>
      <c r="G11" s="475">
        <v>1119343</v>
      </c>
      <c r="H11" s="475">
        <v>162870</v>
      </c>
      <c r="I11" s="475">
        <v>967</v>
      </c>
      <c r="J11" s="475">
        <v>140329</v>
      </c>
      <c r="K11" s="475">
        <v>834784</v>
      </c>
      <c r="L11" s="475">
        <v>25478</v>
      </c>
      <c r="M11" s="475">
        <v>15711</v>
      </c>
      <c r="N11" s="475">
        <v>12599</v>
      </c>
      <c r="O11" s="475">
        <v>22412</v>
      </c>
      <c r="P11" s="475">
        <v>14306</v>
      </c>
      <c r="Q11" s="475">
        <v>74962</v>
      </c>
      <c r="R11" s="475">
        <v>41666</v>
      </c>
      <c r="S11" s="475">
        <v>214324</v>
      </c>
      <c r="T11" s="475">
        <v>3056</v>
      </c>
      <c r="U11" s="475">
        <v>-23521</v>
      </c>
      <c r="V11" s="475">
        <v>7961</v>
      </c>
      <c r="W11" s="475">
        <v>17901</v>
      </c>
      <c r="X11" s="475">
        <v>3865</v>
      </c>
      <c r="Y11" s="475">
        <v>-9085</v>
      </c>
      <c r="Z11" s="475">
        <v>3405</v>
      </c>
      <c r="AA11" s="475">
        <v>19538</v>
      </c>
      <c r="AB11" s="475">
        <v>1901</v>
      </c>
      <c r="AC11" s="475">
        <v>-12501</v>
      </c>
      <c r="AD11" s="475">
        <v>1072</v>
      </c>
      <c r="AE11" s="475">
        <v>9140</v>
      </c>
      <c r="AF11" s="475">
        <v>1228</v>
      </c>
      <c r="AG11" s="475">
        <v>32927</v>
      </c>
      <c r="AH11" s="475">
        <v>445</v>
      </c>
      <c r="AI11" s="475">
        <v>1266</v>
      </c>
      <c r="AJ11" s="475">
        <v>0</v>
      </c>
      <c r="AK11" s="475">
        <v>0</v>
      </c>
      <c r="AL11" s="475">
        <v>0</v>
      </c>
      <c r="AM11" s="475">
        <v>0</v>
      </c>
      <c r="AN11" s="475">
        <v>222</v>
      </c>
      <c r="AO11" s="475">
        <v>-3191</v>
      </c>
      <c r="AP11" s="475">
        <v>25032</v>
      </c>
      <c r="AQ11" s="475">
        <v>146668</v>
      </c>
      <c r="AR11" s="475">
        <v>3262</v>
      </c>
      <c r="AS11" s="475">
        <v>86884</v>
      </c>
      <c r="AT11" s="475">
        <v>194227</v>
      </c>
      <c r="AU11" s="475">
        <v>1188581</v>
      </c>
      <c r="AV11" s="475">
        <v>667</v>
      </c>
      <c r="AW11" s="475">
        <v>1727</v>
      </c>
      <c r="AX11" s="475">
        <v>3668</v>
      </c>
      <c r="AY11" s="475">
        <v>2493</v>
      </c>
      <c r="AZ11" s="475">
        <v>2779</v>
      </c>
      <c r="BA11" s="475">
        <v>7101</v>
      </c>
      <c r="BB11" s="475">
        <v>0</v>
      </c>
      <c r="BC11" s="475">
        <v>0</v>
      </c>
      <c r="BD11" s="475">
        <v>41454</v>
      </c>
      <c r="BE11" s="475">
        <v>15578</v>
      </c>
      <c r="BF11" s="475">
        <v>1781</v>
      </c>
      <c r="BG11" s="475">
        <v>5456</v>
      </c>
      <c r="BH11" s="475" t="s">
        <v>714</v>
      </c>
      <c r="BI11" s="475">
        <v>31</v>
      </c>
      <c r="BJ11" s="475">
        <v>672</v>
      </c>
      <c r="BK11" s="475">
        <v>1134</v>
      </c>
      <c r="BL11" s="475">
        <v>333</v>
      </c>
      <c r="BM11" s="475">
        <v>5453</v>
      </c>
      <c r="BN11" s="475">
        <v>0</v>
      </c>
      <c r="BO11" s="475">
        <v>0</v>
      </c>
      <c r="BP11" s="475">
        <v>48018</v>
      </c>
      <c r="BQ11" s="475">
        <v>41980</v>
      </c>
      <c r="BR11" s="475">
        <v>16478</v>
      </c>
      <c r="BS11" s="475">
        <v>132913</v>
      </c>
      <c r="BT11" s="475">
        <v>7767</v>
      </c>
      <c r="BU11" s="475">
        <v>72978</v>
      </c>
      <c r="BV11" s="475">
        <v>2919</v>
      </c>
      <c r="BW11" s="475">
        <v>35268</v>
      </c>
      <c r="BX11" s="475">
        <v>4298</v>
      </c>
      <c r="BY11" s="475">
        <v>10910</v>
      </c>
      <c r="BZ11" s="475">
        <v>3421</v>
      </c>
      <c r="CA11" s="475">
        <v>17230</v>
      </c>
      <c r="CB11" s="475">
        <v>1960</v>
      </c>
      <c r="CC11" s="475">
        <v>983</v>
      </c>
      <c r="CD11" s="475">
        <v>456</v>
      </c>
      <c r="CE11" s="475">
        <v>184</v>
      </c>
      <c r="CF11" s="475">
        <v>4535</v>
      </c>
      <c r="CG11" s="475">
        <v>29307</v>
      </c>
      <c r="CH11" s="475">
        <v>3088</v>
      </c>
      <c r="CI11" s="475">
        <v>39255</v>
      </c>
      <c r="CJ11" s="475">
        <v>403</v>
      </c>
      <c r="CK11" s="475">
        <v>128</v>
      </c>
      <c r="CL11" s="475">
        <v>3200</v>
      </c>
      <c r="CM11" s="475">
        <v>39383</v>
      </c>
      <c r="CN11" s="475">
        <v>2615</v>
      </c>
      <c r="CO11" s="475">
        <v>3672</v>
      </c>
      <c r="CP11" s="475">
        <v>1057</v>
      </c>
      <c r="CQ11" s="475">
        <v>733</v>
      </c>
      <c r="CR11" s="475">
        <v>223</v>
      </c>
      <c r="CS11" s="475">
        <v>215</v>
      </c>
      <c r="CT11" s="475">
        <v>2948</v>
      </c>
      <c r="CU11" s="475">
        <v>4621</v>
      </c>
      <c r="CV11" s="475">
        <v>0</v>
      </c>
      <c r="CW11" s="475">
        <v>0</v>
      </c>
      <c r="CX11" s="475">
        <v>8200</v>
      </c>
      <c r="CY11" s="475">
        <v>7469</v>
      </c>
      <c r="CZ11" s="475">
        <v>4535</v>
      </c>
      <c r="DA11" s="475">
        <v>100458</v>
      </c>
      <c r="DB11" s="475">
        <v>0</v>
      </c>
      <c r="DC11" s="475">
        <v>0</v>
      </c>
      <c r="DD11" s="475">
        <v>13383</v>
      </c>
      <c r="DE11" s="475">
        <v>189891</v>
      </c>
      <c r="DF11" s="475">
        <v>181066</v>
      </c>
      <c r="DG11" s="475">
        <v>929452</v>
      </c>
      <c r="DH11" s="475">
        <v>155914</v>
      </c>
      <c r="DI11" s="475">
        <v>19022</v>
      </c>
      <c r="DJ11" s="475">
        <v>39722</v>
      </c>
      <c r="DK11" s="475">
        <v>15015</v>
      </c>
      <c r="DL11" s="475">
        <v>33228</v>
      </c>
      <c r="DM11" s="475">
        <v>27</v>
      </c>
      <c r="DN11" s="475">
        <v>140525</v>
      </c>
      <c r="DO11" s="475">
        <v>38082</v>
      </c>
      <c r="DP11" s="475">
        <v>667</v>
      </c>
      <c r="DQ11" s="475">
        <v>4</v>
      </c>
      <c r="DR11" s="475">
        <v>4668</v>
      </c>
      <c r="DS11" s="475">
        <v>52</v>
      </c>
      <c r="DT11" s="475">
        <v>3890</v>
      </c>
      <c r="DU11" s="475">
        <v>44</v>
      </c>
      <c r="DV11" s="475">
        <v>0</v>
      </c>
      <c r="DW11" s="475">
        <v>0</v>
      </c>
      <c r="DX11" s="475" t="s">
        <v>714</v>
      </c>
      <c r="DY11" s="475">
        <v>6</v>
      </c>
      <c r="DZ11" s="475">
        <v>0</v>
      </c>
      <c r="EA11" s="475">
        <v>0</v>
      </c>
      <c r="EB11" s="475">
        <v>2445</v>
      </c>
      <c r="EC11" s="475">
        <v>93</v>
      </c>
      <c r="ED11" s="475">
        <v>105923</v>
      </c>
      <c r="EE11" s="475">
        <v>8378</v>
      </c>
      <c r="EF11" s="475">
        <v>2060</v>
      </c>
      <c r="EG11" s="475">
        <v>2117</v>
      </c>
      <c r="EH11" s="475">
        <v>0</v>
      </c>
      <c r="EI11" s="475">
        <v>0</v>
      </c>
      <c r="EJ11" s="475">
        <v>0</v>
      </c>
      <c r="EK11" s="475">
        <v>0</v>
      </c>
      <c r="EL11" s="475">
        <v>142354</v>
      </c>
      <c r="EM11" s="475">
        <v>57706</v>
      </c>
      <c r="EN11" s="475">
        <v>390</v>
      </c>
      <c r="EO11" s="475">
        <v>305</v>
      </c>
      <c r="EP11" s="476">
        <v>0</v>
      </c>
      <c r="EQ11" s="476">
        <v>0</v>
      </c>
      <c r="ER11" s="476">
        <v>0</v>
      </c>
      <c r="ES11" s="476">
        <v>0</v>
      </c>
      <c r="ET11" s="476">
        <v>0</v>
      </c>
      <c r="EU11" s="476">
        <v>0</v>
      </c>
    </row>
    <row r="12" spans="1:151" ht="15.5">
      <c r="A12" s="474" t="s">
        <v>722</v>
      </c>
      <c r="B12" s="475">
        <v>198775</v>
      </c>
      <c r="C12" s="475">
        <v>48795</v>
      </c>
      <c r="D12" s="475">
        <v>1352322</v>
      </c>
      <c r="E12" s="475">
        <v>-61716</v>
      </c>
      <c r="F12" s="475">
        <v>1290606</v>
      </c>
      <c r="G12" s="475">
        <v>1204971</v>
      </c>
      <c r="H12" s="475">
        <v>314613</v>
      </c>
      <c r="I12" s="475">
        <v>1565</v>
      </c>
      <c r="J12" s="475">
        <v>147779</v>
      </c>
      <c r="K12" s="475">
        <v>1027881</v>
      </c>
      <c r="L12" s="475">
        <v>27390</v>
      </c>
      <c r="M12" s="475">
        <v>19423</v>
      </c>
      <c r="N12" s="475">
        <v>13863</v>
      </c>
      <c r="O12" s="475">
        <v>26913</v>
      </c>
      <c r="P12" s="475">
        <v>14299</v>
      </c>
      <c r="Q12" s="475">
        <v>76174</v>
      </c>
      <c r="R12" s="475">
        <v>40646</v>
      </c>
      <c r="S12" s="475">
        <v>262071</v>
      </c>
      <c r="T12" s="475">
        <v>4835</v>
      </c>
      <c r="U12" s="475">
        <v>-32561</v>
      </c>
      <c r="V12" s="475">
        <v>8302</v>
      </c>
      <c r="W12" s="475">
        <v>38151</v>
      </c>
      <c r="X12" s="475">
        <v>5961</v>
      </c>
      <c r="Y12" s="475">
        <v>-13881</v>
      </c>
      <c r="Z12" s="475">
        <v>3573</v>
      </c>
      <c r="AA12" s="475">
        <v>20048</v>
      </c>
      <c r="AB12" s="475">
        <v>2425</v>
      </c>
      <c r="AC12" s="475">
        <v>-57754</v>
      </c>
      <c r="AD12" s="475">
        <v>1414</v>
      </c>
      <c r="AE12" s="475">
        <v>13300</v>
      </c>
      <c r="AF12" s="475">
        <v>1592</v>
      </c>
      <c r="AG12" s="475">
        <v>20850</v>
      </c>
      <c r="AH12" s="475">
        <v>111</v>
      </c>
      <c r="AI12" s="475">
        <v>446</v>
      </c>
      <c r="AJ12" s="475">
        <v>11</v>
      </c>
      <c r="AK12" s="475">
        <v>122</v>
      </c>
      <c r="AL12" s="475">
        <v>111</v>
      </c>
      <c r="AM12" s="475">
        <v>534</v>
      </c>
      <c r="AN12" s="475">
        <v>167</v>
      </c>
      <c r="AO12" s="475">
        <v>-10492</v>
      </c>
      <c r="AP12" s="475">
        <v>26492</v>
      </c>
      <c r="AQ12" s="475">
        <v>155776</v>
      </c>
      <c r="AR12" s="475">
        <v>4433</v>
      </c>
      <c r="AS12" s="475">
        <v>106488</v>
      </c>
      <c r="AT12" s="475">
        <v>198664</v>
      </c>
      <c r="AU12" s="475">
        <v>1398783</v>
      </c>
      <c r="AV12" s="475">
        <v>334</v>
      </c>
      <c r="AW12" s="475">
        <v>2397</v>
      </c>
      <c r="AX12" s="475">
        <v>3834</v>
      </c>
      <c r="AY12" s="475">
        <v>3392</v>
      </c>
      <c r="AZ12" s="475">
        <v>2500</v>
      </c>
      <c r="BA12" s="475">
        <v>6373</v>
      </c>
      <c r="BB12" s="475">
        <v>0</v>
      </c>
      <c r="BC12" s="475">
        <v>0</v>
      </c>
      <c r="BD12" s="475">
        <v>40705</v>
      </c>
      <c r="BE12" s="475">
        <v>18852</v>
      </c>
      <c r="BF12" s="475">
        <v>2613</v>
      </c>
      <c r="BG12" s="475">
        <v>8958</v>
      </c>
      <c r="BH12" s="475">
        <v>0</v>
      </c>
      <c r="BI12" s="475">
        <v>0</v>
      </c>
      <c r="BJ12" s="475">
        <v>778</v>
      </c>
      <c r="BK12" s="475">
        <v>948</v>
      </c>
      <c r="BL12" s="475">
        <v>111</v>
      </c>
      <c r="BM12" s="475">
        <v>793</v>
      </c>
      <c r="BN12" s="475">
        <v>0</v>
      </c>
      <c r="BO12" s="475">
        <v>0</v>
      </c>
      <c r="BP12" s="475">
        <v>46905</v>
      </c>
      <c r="BQ12" s="475">
        <v>46655</v>
      </c>
      <c r="BR12" s="475">
        <v>18652</v>
      </c>
      <c r="BS12" s="475">
        <v>157520</v>
      </c>
      <c r="BT12" s="475">
        <v>9834</v>
      </c>
      <c r="BU12" s="475">
        <v>95804</v>
      </c>
      <c r="BV12" s="475">
        <v>1938</v>
      </c>
      <c r="BW12" s="475">
        <v>23612</v>
      </c>
      <c r="BX12" s="475">
        <v>3449</v>
      </c>
      <c r="BY12" s="475">
        <v>6601</v>
      </c>
      <c r="BZ12" s="475">
        <v>2927</v>
      </c>
      <c r="CA12" s="475">
        <v>16051</v>
      </c>
      <c r="CB12" s="475">
        <v>1756</v>
      </c>
      <c r="CC12" s="475">
        <v>401</v>
      </c>
      <c r="CD12" s="475">
        <v>235</v>
      </c>
      <c r="CE12" s="475">
        <v>119</v>
      </c>
      <c r="CF12" s="475">
        <v>3594</v>
      </c>
      <c r="CG12" s="475">
        <v>23171</v>
      </c>
      <c r="CH12" s="475">
        <v>2803</v>
      </c>
      <c r="CI12" s="475">
        <v>36985</v>
      </c>
      <c r="CJ12" s="475">
        <v>724</v>
      </c>
      <c r="CK12" s="475">
        <v>747</v>
      </c>
      <c r="CL12" s="475">
        <v>2926</v>
      </c>
      <c r="CM12" s="475">
        <v>37732</v>
      </c>
      <c r="CN12" s="475">
        <v>1288</v>
      </c>
      <c r="CO12" s="475">
        <v>2643</v>
      </c>
      <c r="CP12" s="475">
        <v>622</v>
      </c>
      <c r="CQ12" s="475">
        <v>180</v>
      </c>
      <c r="CR12" s="475">
        <v>111</v>
      </c>
      <c r="CS12" s="475">
        <v>28</v>
      </c>
      <c r="CT12" s="475">
        <v>1543</v>
      </c>
      <c r="CU12" s="475">
        <v>2851</v>
      </c>
      <c r="CV12" s="475">
        <v>0</v>
      </c>
      <c r="CW12" s="475">
        <v>0</v>
      </c>
      <c r="CX12" s="475">
        <v>7253</v>
      </c>
      <c r="CY12" s="475">
        <v>18601</v>
      </c>
      <c r="CZ12" s="475">
        <v>3817</v>
      </c>
      <c r="DA12" s="475">
        <v>82983</v>
      </c>
      <c r="DB12" s="475">
        <v>0</v>
      </c>
      <c r="DC12" s="475">
        <v>0</v>
      </c>
      <c r="DD12" s="475">
        <v>14464</v>
      </c>
      <c r="DE12" s="475">
        <v>239492</v>
      </c>
      <c r="DF12" s="475">
        <v>184200</v>
      </c>
      <c r="DG12" s="475">
        <v>965479</v>
      </c>
      <c r="DH12" s="475">
        <v>164514</v>
      </c>
      <c r="DI12" s="475">
        <v>20071</v>
      </c>
      <c r="DJ12" s="475">
        <v>50104</v>
      </c>
      <c r="DK12" s="475">
        <v>18939</v>
      </c>
      <c r="DL12" s="475">
        <v>31182</v>
      </c>
      <c r="DM12" s="475">
        <v>0</v>
      </c>
      <c r="DN12" s="475">
        <v>146495</v>
      </c>
      <c r="DO12" s="475">
        <v>42803</v>
      </c>
      <c r="DP12" s="475">
        <v>556</v>
      </c>
      <c r="DQ12" s="475">
        <v>12</v>
      </c>
      <c r="DR12" s="475">
        <v>5113</v>
      </c>
      <c r="DS12" s="475">
        <v>98</v>
      </c>
      <c r="DT12" s="475">
        <v>4557</v>
      </c>
      <c r="DU12" s="475">
        <v>86</v>
      </c>
      <c r="DV12" s="475">
        <v>0</v>
      </c>
      <c r="DW12" s="475">
        <v>0</v>
      </c>
      <c r="DX12" s="475">
        <v>0</v>
      </c>
      <c r="DY12" s="475">
        <v>0</v>
      </c>
      <c r="DZ12" s="475">
        <v>0</v>
      </c>
      <c r="EA12" s="475">
        <v>0</v>
      </c>
      <c r="EB12" s="475">
        <v>1111</v>
      </c>
      <c r="EC12" s="475">
        <v>44</v>
      </c>
      <c r="ED12" s="475">
        <v>105163</v>
      </c>
      <c r="EE12" s="475">
        <v>11325</v>
      </c>
      <c r="EF12" s="475">
        <v>1180</v>
      </c>
      <c r="EG12" s="475">
        <v>582</v>
      </c>
      <c r="EH12" s="475">
        <v>0</v>
      </c>
      <c r="EI12" s="475">
        <v>0</v>
      </c>
      <c r="EJ12" s="475">
        <v>0</v>
      </c>
      <c r="EK12" s="475">
        <v>0</v>
      </c>
      <c r="EL12" s="475">
        <v>142478</v>
      </c>
      <c r="EM12" s="475">
        <v>68905</v>
      </c>
      <c r="EN12" s="475">
        <v>957</v>
      </c>
      <c r="EO12" s="475">
        <v>429</v>
      </c>
      <c r="EP12" s="476">
        <v>0</v>
      </c>
      <c r="EQ12" s="476">
        <v>0</v>
      </c>
      <c r="ER12" s="476">
        <v>0</v>
      </c>
      <c r="ES12" s="476">
        <v>0</v>
      </c>
      <c r="ET12" s="476">
        <v>0</v>
      </c>
      <c r="EU12" s="476">
        <v>0</v>
      </c>
    </row>
    <row r="13" spans="1:151" ht="15.5">
      <c r="A13" s="474" t="s">
        <v>723</v>
      </c>
      <c r="B13" s="475">
        <v>203858</v>
      </c>
      <c r="C13" s="475">
        <v>41237</v>
      </c>
      <c r="D13" s="475">
        <v>1572980</v>
      </c>
      <c r="E13" s="475">
        <v>-44977</v>
      </c>
      <c r="F13" s="475">
        <v>1528003</v>
      </c>
      <c r="G13" s="475">
        <v>1264415</v>
      </c>
      <c r="H13" s="475">
        <v>483081</v>
      </c>
      <c r="I13" s="475">
        <v>1702</v>
      </c>
      <c r="J13" s="475">
        <v>151434</v>
      </c>
      <c r="K13" s="475">
        <v>1181611</v>
      </c>
      <c r="L13" s="475">
        <v>27397</v>
      </c>
      <c r="M13" s="475">
        <v>29330</v>
      </c>
      <c r="N13" s="475">
        <v>14544</v>
      </c>
      <c r="O13" s="475">
        <v>36538</v>
      </c>
      <c r="P13" s="475">
        <v>15463</v>
      </c>
      <c r="Q13" s="475">
        <v>96930</v>
      </c>
      <c r="R13" s="475">
        <v>40204</v>
      </c>
      <c r="S13" s="475">
        <v>300812</v>
      </c>
      <c r="T13" s="475">
        <v>5018</v>
      </c>
      <c r="U13" s="475">
        <v>-36997</v>
      </c>
      <c r="V13" s="475">
        <v>7252</v>
      </c>
      <c r="W13" s="475">
        <v>29916</v>
      </c>
      <c r="X13" s="475">
        <v>5764</v>
      </c>
      <c r="Y13" s="475">
        <v>-12659</v>
      </c>
      <c r="Z13" s="475">
        <v>4490</v>
      </c>
      <c r="AA13" s="475">
        <v>24913</v>
      </c>
      <c r="AB13" s="475">
        <v>2304</v>
      </c>
      <c r="AC13" s="475">
        <v>-30445</v>
      </c>
      <c r="AD13" s="475">
        <v>1342</v>
      </c>
      <c r="AE13" s="475">
        <v>10333</v>
      </c>
      <c r="AF13" s="475">
        <v>1753</v>
      </c>
      <c r="AG13" s="475">
        <v>69572</v>
      </c>
      <c r="AH13" s="475">
        <v>610</v>
      </c>
      <c r="AI13" s="475">
        <v>3170</v>
      </c>
      <c r="AJ13" s="475">
        <v>0</v>
      </c>
      <c r="AK13" s="475">
        <v>0</v>
      </c>
      <c r="AL13" s="475">
        <v>0</v>
      </c>
      <c r="AM13" s="475">
        <v>0</v>
      </c>
      <c r="AN13" s="475">
        <v>111</v>
      </c>
      <c r="AO13" s="475">
        <v>-1053</v>
      </c>
      <c r="AP13" s="475">
        <v>25944</v>
      </c>
      <c r="AQ13" s="475">
        <v>134497</v>
      </c>
      <c r="AR13" s="475">
        <v>3580</v>
      </c>
      <c r="AS13" s="475">
        <v>76553</v>
      </c>
      <c r="AT13" s="475">
        <v>203858</v>
      </c>
      <c r="AU13" s="475">
        <v>1620771</v>
      </c>
      <c r="AV13" s="475">
        <v>557</v>
      </c>
      <c r="AW13" s="475">
        <v>1113</v>
      </c>
      <c r="AX13" s="475">
        <v>4446</v>
      </c>
      <c r="AY13" s="475">
        <v>3495</v>
      </c>
      <c r="AZ13" s="475">
        <v>2668</v>
      </c>
      <c r="BA13" s="475">
        <v>7981</v>
      </c>
      <c r="BB13" s="475">
        <v>0</v>
      </c>
      <c r="BC13" s="475">
        <v>0</v>
      </c>
      <c r="BD13" s="475">
        <v>39871</v>
      </c>
      <c r="BE13" s="475">
        <v>21175</v>
      </c>
      <c r="BF13" s="475">
        <v>2117</v>
      </c>
      <c r="BG13" s="475">
        <v>6213</v>
      </c>
      <c r="BH13" s="475">
        <v>222</v>
      </c>
      <c r="BI13" s="475">
        <v>113</v>
      </c>
      <c r="BJ13" s="475">
        <v>122</v>
      </c>
      <c r="BK13" s="475">
        <v>13</v>
      </c>
      <c r="BL13" s="475">
        <v>111</v>
      </c>
      <c r="BM13" s="475">
        <v>6669</v>
      </c>
      <c r="BN13" s="475">
        <v>0</v>
      </c>
      <c r="BO13" s="475">
        <v>0</v>
      </c>
      <c r="BP13" s="475">
        <v>46109</v>
      </c>
      <c r="BQ13" s="475">
        <v>47790</v>
      </c>
      <c r="BR13" s="475">
        <v>17011</v>
      </c>
      <c r="BS13" s="475">
        <v>124990</v>
      </c>
      <c r="BT13" s="475">
        <v>8985</v>
      </c>
      <c r="BU13" s="475">
        <v>80012</v>
      </c>
      <c r="BV13" s="475">
        <v>3203</v>
      </c>
      <c r="BW13" s="475">
        <v>69662</v>
      </c>
      <c r="BX13" s="475">
        <v>4631</v>
      </c>
      <c r="BY13" s="475">
        <v>8180</v>
      </c>
      <c r="BZ13" s="475">
        <v>3618</v>
      </c>
      <c r="CA13" s="475">
        <v>23481</v>
      </c>
      <c r="CB13" s="475">
        <v>1880</v>
      </c>
      <c r="CC13" s="475">
        <v>967</v>
      </c>
      <c r="CD13" s="475">
        <v>0</v>
      </c>
      <c r="CE13" s="475">
        <v>0</v>
      </c>
      <c r="CF13" s="475">
        <v>4853</v>
      </c>
      <c r="CG13" s="475">
        <v>32628</v>
      </c>
      <c r="CH13" s="475">
        <v>2949</v>
      </c>
      <c r="CI13" s="475">
        <v>49450</v>
      </c>
      <c r="CJ13" s="475">
        <v>449</v>
      </c>
      <c r="CK13" s="475">
        <v>478</v>
      </c>
      <c r="CL13" s="475">
        <v>3395</v>
      </c>
      <c r="CM13" s="475">
        <v>49927</v>
      </c>
      <c r="CN13" s="475">
        <v>2369</v>
      </c>
      <c r="CO13" s="475">
        <v>2683</v>
      </c>
      <c r="CP13" s="475">
        <v>1446</v>
      </c>
      <c r="CQ13" s="475">
        <v>527</v>
      </c>
      <c r="CR13" s="475">
        <v>111</v>
      </c>
      <c r="CS13" s="475">
        <v>99</v>
      </c>
      <c r="CT13" s="475">
        <v>2592</v>
      </c>
      <c r="CU13" s="475">
        <v>3309</v>
      </c>
      <c r="CV13" s="475">
        <v>0</v>
      </c>
      <c r="CW13" s="475">
        <v>0</v>
      </c>
      <c r="CX13" s="475">
        <v>8730</v>
      </c>
      <c r="CY13" s="475">
        <v>29347</v>
      </c>
      <c r="CZ13" s="475">
        <v>4853</v>
      </c>
      <c r="DA13" s="475">
        <v>149767</v>
      </c>
      <c r="DB13" s="475">
        <v>0</v>
      </c>
      <c r="DC13" s="475">
        <v>0</v>
      </c>
      <c r="DD13" s="475">
        <v>15269</v>
      </c>
      <c r="DE13" s="475">
        <v>279442</v>
      </c>
      <c r="DF13" s="475">
        <v>188589</v>
      </c>
      <c r="DG13" s="475">
        <v>984973</v>
      </c>
      <c r="DH13" s="475">
        <v>178382</v>
      </c>
      <c r="DI13" s="475">
        <v>21763</v>
      </c>
      <c r="DJ13" s="475">
        <v>50644</v>
      </c>
      <c r="DK13" s="475">
        <v>19144</v>
      </c>
      <c r="DL13" s="475">
        <v>33654</v>
      </c>
      <c r="DM13" s="475">
        <v>54</v>
      </c>
      <c r="DN13" s="475">
        <v>159170</v>
      </c>
      <c r="DO13" s="475">
        <v>45009</v>
      </c>
      <c r="DP13" s="475">
        <v>556</v>
      </c>
      <c r="DQ13" s="475">
        <v>9</v>
      </c>
      <c r="DR13" s="475">
        <v>5669</v>
      </c>
      <c r="DS13" s="475">
        <v>157</v>
      </c>
      <c r="DT13" s="475">
        <v>5113</v>
      </c>
      <c r="DU13" s="475">
        <v>148</v>
      </c>
      <c r="DV13" s="475">
        <v>0</v>
      </c>
      <c r="DW13" s="475">
        <v>0</v>
      </c>
      <c r="DX13" s="475">
        <v>0</v>
      </c>
      <c r="DY13" s="475">
        <v>0</v>
      </c>
      <c r="DZ13" s="475">
        <v>0</v>
      </c>
      <c r="EA13" s="475">
        <v>0</v>
      </c>
      <c r="EB13" s="475">
        <v>2445</v>
      </c>
      <c r="EC13" s="475">
        <v>145</v>
      </c>
      <c r="ED13" s="475">
        <v>120833</v>
      </c>
      <c r="EE13" s="475">
        <v>11782</v>
      </c>
      <c r="EF13" s="475">
        <v>1470</v>
      </c>
      <c r="EG13" s="475">
        <v>1921</v>
      </c>
      <c r="EH13" s="475">
        <v>0</v>
      </c>
      <c r="EI13" s="475">
        <v>0</v>
      </c>
      <c r="EJ13" s="475">
        <v>0</v>
      </c>
      <c r="EK13" s="475">
        <v>0</v>
      </c>
      <c r="EL13" s="475">
        <v>153745</v>
      </c>
      <c r="EM13" s="475">
        <v>69528</v>
      </c>
      <c r="EN13" s="475">
        <v>913</v>
      </c>
      <c r="EO13" s="475">
        <v>820</v>
      </c>
      <c r="EP13" s="476">
        <v>0</v>
      </c>
      <c r="EQ13" s="476">
        <v>0</v>
      </c>
      <c r="ER13" s="476">
        <v>0</v>
      </c>
      <c r="ES13" s="476">
        <v>0</v>
      </c>
      <c r="ET13" s="476">
        <v>0</v>
      </c>
      <c r="EU13" s="476">
        <v>0</v>
      </c>
    </row>
    <row r="14" spans="1:151" ht="15.5">
      <c r="A14" s="474" t="s">
        <v>724</v>
      </c>
      <c r="B14" s="475">
        <v>196109</v>
      </c>
      <c r="C14" s="475">
        <v>39501</v>
      </c>
      <c r="D14" s="475">
        <v>1702661</v>
      </c>
      <c r="E14" s="475">
        <v>-34910</v>
      </c>
      <c r="F14" s="475">
        <v>1667751</v>
      </c>
      <c r="G14" s="475">
        <v>1170284</v>
      </c>
      <c r="H14" s="475">
        <v>621771</v>
      </c>
      <c r="I14" s="475">
        <v>2692</v>
      </c>
      <c r="J14" s="475">
        <v>147973</v>
      </c>
      <c r="K14" s="475">
        <v>1301859</v>
      </c>
      <c r="L14" s="475">
        <v>21529</v>
      </c>
      <c r="M14" s="475">
        <v>14001</v>
      </c>
      <c r="N14" s="475">
        <v>14619</v>
      </c>
      <c r="O14" s="475">
        <v>25793</v>
      </c>
      <c r="P14" s="475">
        <v>14407</v>
      </c>
      <c r="Q14" s="475">
        <v>81261</v>
      </c>
      <c r="R14" s="475">
        <v>40270</v>
      </c>
      <c r="S14" s="475">
        <v>307682</v>
      </c>
      <c r="T14" s="475">
        <v>3237</v>
      </c>
      <c r="U14" s="475">
        <v>-55802</v>
      </c>
      <c r="V14" s="475">
        <v>8961</v>
      </c>
      <c r="W14" s="475">
        <v>87660</v>
      </c>
      <c r="X14" s="475">
        <v>4730</v>
      </c>
      <c r="Y14" s="475">
        <v>-9692</v>
      </c>
      <c r="Z14" s="475">
        <v>3313</v>
      </c>
      <c r="AA14" s="475">
        <v>20934</v>
      </c>
      <c r="AB14" s="475">
        <v>1923</v>
      </c>
      <c r="AC14" s="475">
        <v>-16613</v>
      </c>
      <c r="AD14" s="475">
        <v>1724</v>
      </c>
      <c r="AE14" s="475">
        <v>25116</v>
      </c>
      <c r="AF14" s="475">
        <v>1281</v>
      </c>
      <c r="AG14" s="475">
        <v>86607</v>
      </c>
      <c r="AH14" s="475">
        <v>222</v>
      </c>
      <c r="AI14" s="475">
        <v>1083</v>
      </c>
      <c r="AJ14" s="475">
        <v>0</v>
      </c>
      <c r="AK14" s="475">
        <v>0</v>
      </c>
      <c r="AL14" s="475" t="s">
        <v>714</v>
      </c>
      <c r="AM14" s="475">
        <v>6</v>
      </c>
      <c r="AN14" s="475" t="s">
        <v>714</v>
      </c>
      <c r="AO14" s="475">
        <v>-1197</v>
      </c>
      <c r="AP14" s="475">
        <v>25559</v>
      </c>
      <c r="AQ14" s="475">
        <v>135567</v>
      </c>
      <c r="AR14" s="475">
        <v>3613</v>
      </c>
      <c r="AS14" s="475">
        <v>81769</v>
      </c>
      <c r="AT14" s="475">
        <v>196109</v>
      </c>
      <c r="AU14" s="475">
        <v>1750398</v>
      </c>
      <c r="AV14" s="475">
        <v>556</v>
      </c>
      <c r="AW14" s="475">
        <v>1916</v>
      </c>
      <c r="AX14" s="475">
        <v>3889</v>
      </c>
      <c r="AY14" s="475">
        <v>3637</v>
      </c>
      <c r="AZ14" s="475">
        <v>2668</v>
      </c>
      <c r="BA14" s="475">
        <v>7211</v>
      </c>
      <c r="BB14" s="475">
        <v>0</v>
      </c>
      <c r="BC14" s="475">
        <v>0</v>
      </c>
      <c r="BD14" s="475">
        <v>39727</v>
      </c>
      <c r="BE14" s="475">
        <v>21902</v>
      </c>
      <c r="BF14" s="475">
        <v>3138</v>
      </c>
      <c r="BG14" s="475">
        <v>9894</v>
      </c>
      <c r="BH14" s="475">
        <v>222</v>
      </c>
      <c r="BI14" s="475">
        <v>756</v>
      </c>
      <c r="BJ14" s="475">
        <v>333</v>
      </c>
      <c r="BK14" s="475">
        <v>10</v>
      </c>
      <c r="BL14" s="475">
        <v>0</v>
      </c>
      <c r="BM14" s="475">
        <v>0</v>
      </c>
      <c r="BN14" s="475">
        <v>0</v>
      </c>
      <c r="BO14" s="475">
        <v>0</v>
      </c>
      <c r="BP14" s="475">
        <v>45174</v>
      </c>
      <c r="BQ14" s="475">
        <v>47277</v>
      </c>
      <c r="BR14" s="475">
        <v>17711</v>
      </c>
      <c r="BS14" s="475">
        <v>113813</v>
      </c>
      <c r="BT14" s="475">
        <v>9427</v>
      </c>
      <c r="BU14" s="475">
        <v>78903</v>
      </c>
      <c r="BV14" s="475">
        <v>2013</v>
      </c>
      <c r="BW14" s="475">
        <v>36929</v>
      </c>
      <c r="BX14" s="475">
        <v>3426</v>
      </c>
      <c r="BY14" s="475">
        <v>3866</v>
      </c>
      <c r="BZ14" s="475">
        <v>2759</v>
      </c>
      <c r="CA14" s="475">
        <v>15502</v>
      </c>
      <c r="CB14" s="475">
        <v>1704</v>
      </c>
      <c r="CC14" s="475">
        <v>1480</v>
      </c>
      <c r="CD14" s="475">
        <v>222</v>
      </c>
      <c r="CE14" s="475">
        <v>40</v>
      </c>
      <c r="CF14" s="475">
        <v>3649</v>
      </c>
      <c r="CG14" s="475">
        <v>20888</v>
      </c>
      <c r="CH14" s="475">
        <v>2536</v>
      </c>
      <c r="CI14" s="475">
        <v>35360</v>
      </c>
      <c r="CJ14" s="475">
        <v>235</v>
      </c>
      <c r="CK14" s="475">
        <v>42</v>
      </c>
      <c r="CL14" s="475">
        <v>2536</v>
      </c>
      <c r="CM14" s="475">
        <v>35402</v>
      </c>
      <c r="CN14" s="475">
        <v>1368</v>
      </c>
      <c r="CO14" s="475">
        <v>3203</v>
      </c>
      <c r="CP14" s="475">
        <v>557</v>
      </c>
      <c r="CQ14" s="475">
        <v>286</v>
      </c>
      <c r="CR14" s="475">
        <v>0</v>
      </c>
      <c r="CS14" s="475">
        <v>0</v>
      </c>
      <c r="CT14" s="475">
        <v>1590</v>
      </c>
      <c r="CU14" s="475">
        <v>3489</v>
      </c>
      <c r="CV14" s="475">
        <v>0</v>
      </c>
      <c r="CW14" s="475">
        <v>0</v>
      </c>
      <c r="CX14" s="475">
        <v>7883</v>
      </c>
      <c r="CY14" s="475">
        <v>10163</v>
      </c>
      <c r="CZ14" s="475">
        <v>3649</v>
      </c>
      <c r="DA14" s="475">
        <v>97093</v>
      </c>
      <c r="DB14" s="475">
        <v>0</v>
      </c>
      <c r="DC14" s="475">
        <v>0</v>
      </c>
      <c r="DD14" s="475">
        <v>12009</v>
      </c>
      <c r="DE14" s="475">
        <v>196323</v>
      </c>
      <c r="DF14" s="475">
        <v>184099</v>
      </c>
      <c r="DG14" s="475">
        <v>973961</v>
      </c>
      <c r="DH14" s="475">
        <v>170459</v>
      </c>
      <c r="DI14" s="475">
        <v>20796</v>
      </c>
      <c r="DJ14" s="475">
        <v>57371</v>
      </c>
      <c r="DK14" s="475">
        <v>21686</v>
      </c>
      <c r="DL14" s="475">
        <v>29790</v>
      </c>
      <c r="DM14" s="475">
        <v>27</v>
      </c>
      <c r="DN14" s="475">
        <v>154201</v>
      </c>
      <c r="DO14" s="475">
        <v>46114</v>
      </c>
      <c r="DP14" s="475">
        <v>222</v>
      </c>
      <c r="DQ14" s="475">
        <v>5</v>
      </c>
      <c r="DR14" s="475">
        <v>3890</v>
      </c>
      <c r="DS14" s="475">
        <v>158</v>
      </c>
      <c r="DT14" s="475">
        <v>3668</v>
      </c>
      <c r="DU14" s="475">
        <v>153</v>
      </c>
      <c r="DV14" s="475">
        <v>0</v>
      </c>
      <c r="DW14" s="475">
        <v>0</v>
      </c>
      <c r="DX14" s="475">
        <v>255</v>
      </c>
      <c r="DY14" s="475">
        <v>379</v>
      </c>
      <c r="DZ14" s="475">
        <v>0</v>
      </c>
      <c r="EA14" s="475">
        <v>0</v>
      </c>
      <c r="EB14" s="475">
        <v>1345</v>
      </c>
      <c r="EC14" s="475">
        <v>129</v>
      </c>
      <c r="ED14" s="475">
        <v>113192</v>
      </c>
      <c r="EE14" s="475">
        <v>12181</v>
      </c>
      <c r="EF14" s="475">
        <v>977</v>
      </c>
      <c r="EG14" s="475">
        <v>658</v>
      </c>
      <c r="EH14" s="475">
        <v>111</v>
      </c>
      <c r="EI14" s="475">
        <v>40</v>
      </c>
      <c r="EJ14" s="475">
        <v>0</v>
      </c>
      <c r="EK14" s="475">
        <v>0</v>
      </c>
      <c r="EL14" s="475">
        <v>145583</v>
      </c>
      <c r="EM14" s="475">
        <v>70246</v>
      </c>
      <c r="EN14" s="475">
        <v>557</v>
      </c>
      <c r="EO14" s="475">
        <v>90</v>
      </c>
      <c r="EP14" s="476">
        <v>0</v>
      </c>
      <c r="EQ14" s="476">
        <v>0</v>
      </c>
      <c r="ER14" s="476">
        <v>0</v>
      </c>
      <c r="ES14" s="476">
        <v>0</v>
      </c>
      <c r="ET14" s="476">
        <v>0</v>
      </c>
      <c r="EU14" s="476">
        <v>0</v>
      </c>
    </row>
    <row r="15" spans="1:151" ht="15.5">
      <c r="A15" s="474" t="s">
        <v>725</v>
      </c>
      <c r="B15" s="475">
        <v>203842</v>
      </c>
      <c r="C15" s="475">
        <v>39348</v>
      </c>
      <c r="D15" s="475">
        <v>1981399</v>
      </c>
      <c r="E15" s="475">
        <v>-43525</v>
      </c>
      <c r="F15" s="475">
        <v>1937875</v>
      </c>
      <c r="G15" s="475">
        <v>1239068</v>
      </c>
      <c r="H15" s="475">
        <v>796792</v>
      </c>
      <c r="I15" s="475">
        <v>2577</v>
      </c>
      <c r="J15" s="475">
        <v>155190</v>
      </c>
      <c r="K15" s="475">
        <v>1432109</v>
      </c>
      <c r="L15" s="475">
        <v>26017</v>
      </c>
      <c r="M15" s="475">
        <v>22783</v>
      </c>
      <c r="N15" s="475">
        <v>13270</v>
      </c>
      <c r="O15" s="475">
        <v>29141</v>
      </c>
      <c r="P15" s="475">
        <v>15687</v>
      </c>
      <c r="Q15" s="475">
        <v>114810</v>
      </c>
      <c r="R15" s="475">
        <v>44828</v>
      </c>
      <c r="S15" s="475">
        <v>372963</v>
      </c>
      <c r="T15" s="475">
        <v>3360</v>
      </c>
      <c r="U15" s="475">
        <v>-27566</v>
      </c>
      <c r="V15" s="475">
        <v>7628</v>
      </c>
      <c r="W15" s="475">
        <v>19341</v>
      </c>
      <c r="X15" s="475">
        <v>5377</v>
      </c>
      <c r="Y15" s="475">
        <v>-12188</v>
      </c>
      <c r="Z15" s="475">
        <v>3959</v>
      </c>
      <c r="AA15" s="475">
        <v>25048</v>
      </c>
      <c r="AB15" s="475">
        <v>2157</v>
      </c>
      <c r="AC15" s="475">
        <v>-28232</v>
      </c>
      <c r="AD15" s="475">
        <v>894</v>
      </c>
      <c r="AE15" s="475">
        <v>13756</v>
      </c>
      <c r="AF15" s="475">
        <v>1371</v>
      </c>
      <c r="AG15" s="475">
        <v>15764</v>
      </c>
      <c r="AH15" s="475">
        <v>223</v>
      </c>
      <c r="AI15" s="475">
        <v>1028</v>
      </c>
      <c r="AJ15" s="475" t="s">
        <v>714</v>
      </c>
      <c r="AK15" s="475">
        <v>121</v>
      </c>
      <c r="AL15" s="475">
        <v>0</v>
      </c>
      <c r="AM15" s="475">
        <v>0</v>
      </c>
      <c r="AN15" s="475">
        <v>123</v>
      </c>
      <c r="AO15" s="475">
        <v>-3163</v>
      </c>
      <c r="AP15" s="475">
        <v>29403</v>
      </c>
      <c r="AQ15" s="475">
        <v>156905</v>
      </c>
      <c r="AR15" s="475">
        <v>2663</v>
      </c>
      <c r="AS15" s="475">
        <v>66575</v>
      </c>
      <c r="AT15" s="475">
        <v>203731</v>
      </c>
      <c r="AU15" s="475">
        <v>2034832</v>
      </c>
      <c r="AV15" s="475">
        <v>344</v>
      </c>
      <c r="AW15" s="475">
        <v>1362</v>
      </c>
      <c r="AX15" s="475">
        <v>4391</v>
      </c>
      <c r="AY15" s="475">
        <v>4553</v>
      </c>
      <c r="AZ15" s="475">
        <v>2557</v>
      </c>
      <c r="BA15" s="475">
        <v>5853</v>
      </c>
      <c r="BB15" s="475">
        <v>0</v>
      </c>
      <c r="BC15" s="475">
        <v>0</v>
      </c>
      <c r="BD15" s="475">
        <v>43828</v>
      </c>
      <c r="BE15" s="475">
        <v>27085</v>
      </c>
      <c r="BF15" s="475">
        <v>3135</v>
      </c>
      <c r="BG15" s="475">
        <v>9531</v>
      </c>
      <c r="BH15" s="475">
        <v>111</v>
      </c>
      <c r="BI15" s="475">
        <v>133</v>
      </c>
      <c r="BJ15" s="475">
        <v>557</v>
      </c>
      <c r="BK15" s="475">
        <v>691</v>
      </c>
      <c r="BL15" s="475">
        <v>334</v>
      </c>
      <c r="BM15" s="475">
        <v>3684</v>
      </c>
      <c r="BN15" s="475">
        <v>0</v>
      </c>
      <c r="BO15" s="475">
        <v>0</v>
      </c>
      <c r="BP15" s="475">
        <v>49687</v>
      </c>
      <c r="BQ15" s="475">
        <v>54573</v>
      </c>
      <c r="BR15" s="475">
        <v>19822</v>
      </c>
      <c r="BS15" s="475">
        <v>110211</v>
      </c>
      <c r="BT15" s="475">
        <v>8499</v>
      </c>
      <c r="BU15" s="475">
        <v>66686</v>
      </c>
      <c r="BV15" s="475">
        <v>2838</v>
      </c>
      <c r="BW15" s="475">
        <v>44547</v>
      </c>
      <c r="BX15" s="475">
        <v>4065</v>
      </c>
      <c r="BY15" s="475">
        <v>3630</v>
      </c>
      <c r="BZ15" s="475">
        <v>3064</v>
      </c>
      <c r="CA15" s="475">
        <v>13464</v>
      </c>
      <c r="CB15" s="475">
        <v>2279</v>
      </c>
      <c r="CC15" s="475">
        <v>1350</v>
      </c>
      <c r="CD15" s="475">
        <v>333</v>
      </c>
      <c r="CE15" s="475">
        <v>103</v>
      </c>
      <c r="CF15" s="475">
        <v>4178</v>
      </c>
      <c r="CG15" s="475">
        <v>18547</v>
      </c>
      <c r="CH15" s="475">
        <v>2952</v>
      </c>
      <c r="CI15" s="475">
        <v>32567</v>
      </c>
      <c r="CJ15" s="475">
        <v>225</v>
      </c>
      <c r="CK15" s="475">
        <v>34</v>
      </c>
      <c r="CL15" s="475">
        <v>2953</v>
      </c>
      <c r="CM15" s="475">
        <v>32601</v>
      </c>
      <c r="CN15" s="475">
        <v>1947</v>
      </c>
      <c r="CO15" s="475">
        <v>4025</v>
      </c>
      <c r="CP15" s="475">
        <v>1168</v>
      </c>
      <c r="CQ15" s="475">
        <v>1270</v>
      </c>
      <c r="CR15" s="475">
        <v>222</v>
      </c>
      <c r="CS15" s="475">
        <v>752</v>
      </c>
      <c r="CT15" s="475">
        <v>2169</v>
      </c>
      <c r="CU15" s="475">
        <v>6047</v>
      </c>
      <c r="CV15" s="475">
        <v>0</v>
      </c>
      <c r="CW15" s="475">
        <v>0</v>
      </c>
      <c r="CX15" s="475">
        <v>8021</v>
      </c>
      <c r="CY15" s="475">
        <v>11974</v>
      </c>
      <c r="CZ15" s="475">
        <v>4178</v>
      </c>
      <c r="DA15" s="475">
        <v>104958</v>
      </c>
      <c r="DB15" s="475">
        <v>0</v>
      </c>
      <c r="DC15" s="475">
        <v>0</v>
      </c>
      <c r="DD15" s="475">
        <v>12098</v>
      </c>
      <c r="DE15" s="475">
        <v>201420</v>
      </c>
      <c r="DF15" s="475">
        <v>191744</v>
      </c>
      <c r="DG15" s="475">
        <v>1037648</v>
      </c>
      <c r="DH15" s="475">
        <v>181877</v>
      </c>
      <c r="DI15" s="475">
        <v>22189</v>
      </c>
      <c r="DJ15" s="475">
        <v>70081</v>
      </c>
      <c r="DK15" s="475">
        <v>26491</v>
      </c>
      <c r="DL15" s="475">
        <v>31082</v>
      </c>
      <c r="DM15" s="475">
        <v>27</v>
      </c>
      <c r="DN15" s="475">
        <v>162156</v>
      </c>
      <c r="DO15" s="475">
        <v>52469</v>
      </c>
      <c r="DP15" s="475">
        <v>445</v>
      </c>
      <c r="DQ15" s="475">
        <v>24</v>
      </c>
      <c r="DR15" s="475">
        <v>4779</v>
      </c>
      <c r="DS15" s="475">
        <v>238</v>
      </c>
      <c r="DT15" s="475">
        <v>4335</v>
      </c>
      <c r="DU15" s="475">
        <v>214</v>
      </c>
      <c r="DV15" s="475">
        <v>0</v>
      </c>
      <c r="DW15" s="475">
        <v>0</v>
      </c>
      <c r="DX15" s="475">
        <v>445</v>
      </c>
      <c r="DY15" s="475">
        <v>21</v>
      </c>
      <c r="DZ15" s="475">
        <v>0</v>
      </c>
      <c r="EA15" s="475">
        <v>0</v>
      </c>
      <c r="EB15" s="475">
        <v>2334</v>
      </c>
      <c r="EC15" s="475">
        <v>187</v>
      </c>
      <c r="ED15" s="475">
        <v>121551</v>
      </c>
      <c r="EE15" s="475">
        <v>12006</v>
      </c>
      <c r="EF15" s="475">
        <v>1337</v>
      </c>
      <c r="EG15" s="475">
        <v>2634</v>
      </c>
      <c r="EH15" s="475">
        <v>0</v>
      </c>
      <c r="EI15" s="475">
        <v>0</v>
      </c>
      <c r="EJ15" s="475">
        <v>0</v>
      </c>
      <c r="EK15" s="475">
        <v>0</v>
      </c>
      <c r="EL15" s="475">
        <v>151810</v>
      </c>
      <c r="EM15" s="475">
        <v>68439</v>
      </c>
      <c r="EN15" s="475">
        <v>902</v>
      </c>
      <c r="EO15" s="475">
        <v>778</v>
      </c>
      <c r="EP15" s="476">
        <v>0</v>
      </c>
      <c r="EQ15" s="476">
        <v>0</v>
      </c>
      <c r="ER15" s="476">
        <v>0</v>
      </c>
      <c r="ES15" s="476">
        <v>0</v>
      </c>
      <c r="ET15" s="476">
        <v>0</v>
      </c>
      <c r="EU15" s="476">
        <v>0</v>
      </c>
    </row>
    <row r="16" spans="1:151" ht="15.5">
      <c r="A16" s="474" t="s">
        <v>726</v>
      </c>
      <c r="B16" s="475">
        <v>228171</v>
      </c>
      <c r="C16" s="475">
        <v>34678</v>
      </c>
      <c r="D16" s="475">
        <v>2405937</v>
      </c>
      <c r="E16" s="475">
        <v>-9502</v>
      </c>
      <c r="F16" s="475">
        <v>2396334</v>
      </c>
      <c r="G16" s="475">
        <v>1444701</v>
      </c>
      <c r="H16" s="475">
        <v>1050746</v>
      </c>
      <c r="I16" s="475">
        <v>2745</v>
      </c>
      <c r="J16" s="475">
        <v>167127</v>
      </c>
      <c r="K16" s="475">
        <v>1692930</v>
      </c>
      <c r="L16" s="475">
        <v>26465</v>
      </c>
      <c r="M16" s="475">
        <v>22552</v>
      </c>
      <c r="N16" s="475">
        <v>12930</v>
      </c>
      <c r="O16" s="475">
        <v>26856</v>
      </c>
      <c r="P16" s="475">
        <v>17073</v>
      </c>
      <c r="Q16" s="475">
        <v>121010</v>
      </c>
      <c r="R16" s="475">
        <v>64477</v>
      </c>
      <c r="S16" s="475">
        <v>599983</v>
      </c>
      <c r="T16" s="475">
        <v>4358</v>
      </c>
      <c r="U16" s="475">
        <v>-31740</v>
      </c>
      <c r="V16" s="475">
        <v>8062</v>
      </c>
      <c r="W16" s="475">
        <v>25728</v>
      </c>
      <c r="X16" s="475">
        <v>4773</v>
      </c>
      <c r="Y16" s="475">
        <v>-11246</v>
      </c>
      <c r="Z16" s="475">
        <v>4927</v>
      </c>
      <c r="AA16" s="475">
        <v>32642</v>
      </c>
      <c r="AB16" s="475">
        <v>1958</v>
      </c>
      <c r="AC16" s="475">
        <v>-22188</v>
      </c>
      <c r="AD16" s="475">
        <v>1522</v>
      </c>
      <c r="AE16" s="475">
        <v>14449</v>
      </c>
      <c r="AF16" s="475">
        <v>978</v>
      </c>
      <c r="AG16" s="475">
        <v>45174</v>
      </c>
      <c r="AH16" s="475">
        <v>445</v>
      </c>
      <c r="AI16" s="475">
        <v>2376</v>
      </c>
      <c r="AJ16" s="475">
        <v>0</v>
      </c>
      <c r="AK16" s="475">
        <v>0</v>
      </c>
      <c r="AL16" s="475">
        <v>223</v>
      </c>
      <c r="AM16" s="475">
        <v>1460</v>
      </c>
      <c r="AN16" s="475">
        <v>344</v>
      </c>
      <c r="AO16" s="475">
        <v>-4291</v>
      </c>
      <c r="AP16" s="475">
        <v>29868</v>
      </c>
      <c r="AQ16" s="475">
        <v>141899</v>
      </c>
      <c r="AR16" s="475">
        <v>2177</v>
      </c>
      <c r="AS16" s="475">
        <v>83066</v>
      </c>
      <c r="AT16" s="475">
        <v>228171</v>
      </c>
      <c r="AU16" s="475">
        <v>2484182</v>
      </c>
      <c r="AV16" s="475">
        <v>778</v>
      </c>
      <c r="AW16" s="475">
        <v>3234</v>
      </c>
      <c r="AX16" s="475">
        <v>5167</v>
      </c>
      <c r="AY16" s="475">
        <v>3642</v>
      </c>
      <c r="AZ16" s="475">
        <v>2779</v>
      </c>
      <c r="BA16" s="475">
        <v>7553</v>
      </c>
      <c r="BB16" s="475">
        <v>0</v>
      </c>
      <c r="BC16" s="475">
        <v>0</v>
      </c>
      <c r="BD16" s="475">
        <v>63753</v>
      </c>
      <c r="BE16" s="475">
        <v>42526</v>
      </c>
      <c r="BF16" s="475">
        <v>5167</v>
      </c>
      <c r="BG16" s="475">
        <v>15534</v>
      </c>
      <c r="BH16" s="475">
        <v>222</v>
      </c>
      <c r="BI16" s="475">
        <v>594</v>
      </c>
      <c r="BJ16" s="475">
        <v>222</v>
      </c>
      <c r="BK16" s="475">
        <v>145</v>
      </c>
      <c r="BL16" s="475">
        <v>223</v>
      </c>
      <c r="BM16" s="475">
        <v>2384</v>
      </c>
      <c r="BN16" s="475">
        <v>0</v>
      </c>
      <c r="BO16" s="475">
        <v>0</v>
      </c>
      <c r="BP16" s="475">
        <v>70201</v>
      </c>
      <c r="BQ16" s="475">
        <v>77616</v>
      </c>
      <c r="BR16" s="475">
        <v>20465</v>
      </c>
      <c r="BS16" s="475">
        <v>103395</v>
      </c>
      <c r="BT16" s="475">
        <v>7627</v>
      </c>
      <c r="BU16" s="475">
        <v>93894</v>
      </c>
      <c r="BV16" s="475">
        <v>3649</v>
      </c>
      <c r="BW16" s="475">
        <v>49212</v>
      </c>
      <c r="BX16" s="475">
        <v>4072</v>
      </c>
      <c r="BY16" s="475">
        <v>9292</v>
      </c>
      <c r="BZ16" s="475">
        <v>3762</v>
      </c>
      <c r="CA16" s="475">
        <v>20690</v>
      </c>
      <c r="CB16" s="475">
        <v>1748</v>
      </c>
      <c r="CC16" s="475">
        <v>763</v>
      </c>
      <c r="CD16" s="475">
        <v>557</v>
      </c>
      <c r="CE16" s="475">
        <v>154</v>
      </c>
      <c r="CF16" s="475">
        <v>4764</v>
      </c>
      <c r="CG16" s="475">
        <v>30899</v>
      </c>
      <c r="CH16" s="475">
        <v>3649</v>
      </c>
      <c r="CI16" s="475">
        <v>51734</v>
      </c>
      <c r="CJ16" s="475">
        <v>23</v>
      </c>
      <c r="CK16" s="475">
        <v>381</v>
      </c>
      <c r="CL16" s="475">
        <v>3649</v>
      </c>
      <c r="CM16" s="475">
        <v>52115</v>
      </c>
      <c r="CN16" s="475">
        <v>2167</v>
      </c>
      <c r="CO16" s="475">
        <v>4692</v>
      </c>
      <c r="CP16" s="475">
        <v>1277</v>
      </c>
      <c r="CQ16" s="475">
        <v>800</v>
      </c>
      <c r="CR16" s="475">
        <v>111</v>
      </c>
      <c r="CS16" s="475">
        <v>227</v>
      </c>
      <c r="CT16" s="475">
        <v>2390</v>
      </c>
      <c r="CU16" s="475">
        <v>5718</v>
      </c>
      <c r="CV16" s="475">
        <v>0</v>
      </c>
      <c r="CW16" s="475">
        <v>0</v>
      </c>
      <c r="CX16" s="475">
        <v>7948</v>
      </c>
      <c r="CY16" s="475">
        <v>12112</v>
      </c>
      <c r="CZ16" s="475">
        <v>4764</v>
      </c>
      <c r="DA16" s="475">
        <v>133561</v>
      </c>
      <c r="DB16" s="475">
        <v>111</v>
      </c>
      <c r="DC16" s="475">
        <v>-265</v>
      </c>
      <c r="DD16" s="475">
        <v>14237</v>
      </c>
      <c r="DE16" s="475">
        <v>228184</v>
      </c>
      <c r="DF16" s="475">
        <v>213934</v>
      </c>
      <c r="DG16" s="475">
        <v>1216517</v>
      </c>
      <c r="DH16" s="475">
        <v>215096</v>
      </c>
      <c r="DI16" s="475">
        <v>26242</v>
      </c>
      <c r="DJ16" s="475">
        <v>96930</v>
      </c>
      <c r="DK16" s="475">
        <v>36640</v>
      </c>
      <c r="DL16" s="475">
        <v>34112</v>
      </c>
      <c r="DM16" s="475">
        <v>61</v>
      </c>
      <c r="DN16" s="475">
        <v>192379</v>
      </c>
      <c r="DO16" s="475">
        <v>67041</v>
      </c>
      <c r="DP16" s="475">
        <v>333</v>
      </c>
      <c r="DQ16" s="475">
        <v>3</v>
      </c>
      <c r="DR16" s="475">
        <v>4780</v>
      </c>
      <c r="DS16" s="475">
        <v>256</v>
      </c>
      <c r="DT16" s="475">
        <v>4447</v>
      </c>
      <c r="DU16" s="475">
        <v>252</v>
      </c>
      <c r="DV16" s="475">
        <v>0</v>
      </c>
      <c r="DW16" s="475">
        <v>0</v>
      </c>
      <c r="DX16" s="475">
        <v>111</v>
      </c>
      <c r="DY16" s="475">
        <v>9</v>
      </c>
      <c r="DZ16" s="475">
        <v>0</v>
      </c>
      <c r="EA16" s="475">
        <v>0</v>
      </c>
      <c r="EB16" s="475">
        <v>2556</v>
      </c>
      <c r="EC16" s="475">
        <v>290</v>
      </c>
      <c r="ED16" s="475">
        <v>134837</v>
      </c>
      <c r="EE16" s="475">
        <v>16949</v>
      </c>
      <c r="EF16" s="475">
        <v>834</v>
      </c>
      <c r="EG16" s="475">
        <v>676</v>
      </c>
      <c r="EH16" s="475">
        <v>0</v>
      </c>
      <c r="EI16" s="475">
        <v>0</v>
      </c>
      <c r="EJ16" s="475">
        <v>0</v>
      </c>
      <c r="EK16" s="475">
        <v>0</v>
      </c>
      <c r="EL16" s="475">
        <v>175742</v>
      </c>
      <c r="EM16" s="475">
        <v>82705</v>
      </c>
      <c r="EN16" s="475">
        <v>500</v>
      </c>
      <c r="EO16" s="475">
        <v>224</v>
      </c>
      <c r="EP16" s="476">
        <v>0</v>
      </c>
      <c r="EQ16" s="476">
        <v>0</v>
      </c>
      <c r="ER16" s="476">
        <v>0</v>
      </c>
      <c r="ES16" s="476">
        <v>0</v>
      </c>
      <c r="ET16" s="476">
        <v>0</v>
      </c>
      <c r="EU16" s="476">
        <v>0</v>
      </c>
    </row>
    <row r="17" spans="1:151" ht="15.5">
      <c r="A17" s="474" t="s">
        <v>727</v>
      </c>
      <c r="B17" s="475">
        <v>235832</v>
      </c>
      <c r="C17" s="475">
        <v>37903</v>
      </c>
      <c r="D17" s="475">
        <v>2786211</v>
      </c>
      <c r="E17" s="475">
        <v>-77316</v>
      </c>
      <c r="F17" s="475">
        <v>2709909</v>
      </c>
      <c r="G17" s="475">
        <v>1478761</v>
      </c>
      <c r="H17" s="475">
        <v>1317357</v>
      </c>
      <c r="I17" s="475">
        <v>2986</v>
      </c>
      <c r="J17" s="475">
        <v>175405</v>
      </c>
      <c r="K17" s="475">
        <v>1948744</v>
      </c>
      <c r="L17" s="475">
        <v>27859</v>
      </c>
      <c r="M17" s="475">
        <v>21148</v>
      </c>
      <c r="N17" s="475">
        <v>13907</v>
      </c>
      <c r="O17" s="475">
        <v>34942</v>
      </c>
      <c r="P17" s="475">
        <v>18064</v>
      </c>
      <c r="Q17" s="475">
        <v>145254</v>
      </c>
      <c r="R17" s="475">
        <v>56375</v>
      </c>
      <c r="S17" s="475">
        <v>575742</v>
      </c>
      <c r="T17" s="475">
        <v>4892</v>
      </c>
      <c r="U17" s="475">
        <v>-29995</v>
      </c>
      <c r="V17" s="475">
        <v>8336</v>
      </c>
      <c r="W17" s="475">
        <v>23816</v>
      </c>
      <c r="X17" s="475">
        <v>6285</v>
      </c>
      <c r="Y17" s="475">
        <v>-14082</v>
      </c>
      <c r="Z17" s="475">
        <v>5462</v>
      </c>
      <c r="AA17" s="475">
        <v>46855</v>
      </c>
      <c r="AB17" s="475">
        <v>2013</v>
      </c>
      <c r="AC17" s="475">
        <v>-19332</v>
      </c>
      <c r="AD17" s="475">
        <v>2017</v>
      </c>
      <c r="AE17" s="475">
        <v>27443</v>
      </c>
      <c r="AF17" s="475">
        <v>2126</v>
      </c>
      <c r="AG17" s="475">
        <v>44553</v>
      </c>
      <c r="AH17" s="475">
        <v>447</v>
      </c>
      <c r="AI17" s="475">
        <v>1133</v>
      </c>
      <c r="AJ17" s="475" t="s">
        <v>714</v>
      </c>
      <c r="AK17" s="475">
        <v>210</v>
      </c>
      <c r="AL17" s="475">
        <v>0</v>
      </c>
      <c r="AM17" s="475">
        <v>0</v>
      </c>
      <c r="AN17" s="475">
        <v>0</v>
      </c>
      <c r="AO17" s="475">
        <v>0</v>
      </c>
      <c r="AP17" s="475">
        <v>32712</v>
      </c>
      <c r="AQ17" s="475">
        <v>184850</v>
      </c>
      <c r="AR17" s="475">
        <v>2544</v>
      </c>
      <c r="AS17" s="475">
        <v>43529</v>
      </c>
      <c r="AT17" s="475">
        <v>235499</v>
      </c>
      <c r="AU17" s="475">
        <v>2858741</v>
      </c>
      <c r="AV17" s="475">
        <v>556</v>
      </c>
      <c r="AW17" s="475">
        <v>3521</v>
      </c>
      <c r="AX17" s="475">
        <v>5669</v>
      </c>
      <c r="AY17" s="475">
        <v>4468</v>
      </c>
      <c r="AZ17" s="475">
        <v>2890</v>
      </c>
      <c r="BA17" s="475">
        <v>7287</v>
      </c>
      <c r="BB17" s="475">
        <v>0</v>
      </c>
      <c r="BC17" s="475">
        <v>0</v>
      </c>
      <c r="BD17" s="475">
        <v>55375</v>
      </c>
      <c r="BE17" s="475">
        <v>42191</v>
      </c>
      <c r="BF17" s="475">
        <v>2279</v>
      </c>
      <c r="BG17" s="475">
        <v>5412</v>
      </c>
      <c r="BH17" s="475">
        <v>0</v>
      </c>
      <c r="BI17" s="475">
        <v>0</v>
      </c>
      <c r="BJ17" s="475">
        <v>222</v>
      </c>
      <c r="BK17" s="475">
        <v>0</v>
      </c>
      <c r="BL17" s="475">
        <v>333</v>
      </c>
      <c r="BM17" s="475">
        <v>6511</v>
      </c>
      <c r="BN17" s="475">
        <v>0</v>
      </c>
      <c r="BO17" s="475">
        <v>0</v>
      </c>
      <c r="BP17" s="475">
        <v>64045</v>
      </c>
      <c r="BQ17" s="475">
        <v>76169</v>
      </c>
      <c r="BR17" s="475">
        <v>23773</v>
      </c>
      <c r="BS17" s="475">
        <v>128406</v>
      </c>
      <c r="BT17" s="475">
        <v>9617</v>
      </c>
      <c r="BU17" s="475">
        <v>51090</v>
      </c>
      <c r="BV17" s="475">
        <v>2903</v>
      </c>
      <c r="BW17" s="475">
        <v>28120</v>
      </c>
      <c r="BX17" s="475">
        <v>4694</v>
      </c>
      <c r="BY17" s="475">
        <v>8647</v>
      </c>
      <c r="BZ17" s="475">
        <v>4027</v>
      </c>
      <c r="CA17" s="475">
        <v>22124</v>
      </c>
      <c r="CB17" s="475">
        <v>2568</v>
      </c>
      <c r="CC17" s="475">
        <v>868</v>
      </c>
      <c r="CD17" s="475">
        <v>222</v>
      </c>
      <c r="CE17" s="475">
        <v>131</v>
      </c>
      <c r="CF17" s="475">
        <v>5028</v>
      </c>
      <c r="CG17" s="475">
        <v>31770</v>
      </c>
      <c r="CH17" s="475">
        <v>3583</v>
      </c>
      <c r="CI17" s="475">
        <v>53677</v>
      </c>
      <c r="CJ17" s="475">
        <v>447</v>
      </c>
      <c r="CK17" s="475">
        <v>586</v>
      </c>
      <c r="CL17" s="475">
        <v>3584</v>
      </c>
      <c r="CM17" s="475">
        <v>54263</v>
      </c>
      <c r="CN17" s="475">
        <v>2669</v>
      </c>
      <c r="CO17" s="475">
        <v>7039</v>
      </c>
      <c r="CP17" s="475">
        <v>1557</v>
      </c>
      <c r="CQ17" s="475">
        <v>1133</v>
      </c>
      <c r="CR17" s="475">
        <v>111</v>
      </c>
      <c r="CS17" s="475">
        <v>14</v>
      </c>
      <c r="CT17" s="475">
        <v>3002</v>
      </c>
      <c r="CU17" s="475">
        <v>8186</v>
      </c>
      <c r="CV17" s="475">
        <v>0</v>
      </c>
      <c r="CW17" s="475">
        <v>0</v>
      </c>
      <c r="CX17" s="475">
        <v>7851</v>
      </c>
      <c r="CY17" s="475">
        <v>10523</v>
      </c>
      <c r="CZ17" s="475">
        <v>5028</v>
      </c>
      <c r="DA17" s="475">
        <v>118028</v>
      </c>
      <c r="DB17" s="475">
        <v>0</v>
      </c>
      <c r="DC17" s="475">
        <v>0</v>
      </c>
      <c r="DD17" s="475">
        <v>15411</v>
      </c>
      <c r="DE17" s="475">
        <v>232800</v>
      </c>
      <c r="DF17" s="475">
        <v>220422</v>
      </c>
      <c r="DG17" s="475">
        <v>1245961</v>
      </c>
      <c r="DH17" s="475">
        <v>224780</v>
      </c>
      <c r="DI17" s="475">
        <v>27423</v>
      </c>
      <c r="DJ17" s="475">
        <v>91929</v>
      </c>
      <c r="DK17" s="475">
        <v>34749</v>
      </c>
      <c r="DL17" s="475">
        <v>35010</v>
      </c>
      <c r="DM17" s="475">
        <v>81</v>
      </c>
      <c r="DN17" s="475">
        <v>199929</v>
      </c>
      <c r="DO17" s="475">
        <v>66434</v>
      </c>
      <c r="DP17" s="475">
        <v>556</v>
      </c>
      <c r="DQ17" s="475">
        <v>42</v>
      </c>
      <c r="DR17" s="475">
        <v>4668</v>
      </c>
      <c r="DS17" s="475">
        <v>290</v>
      </c>
      <c r="DT17" s="475">
        <v>4112</v>
      </c>
      <c r="DU17" s="475">
        <v>248</v>
      </c>
      <c r="DV17" s="475">
        <v>0</v>
      </c>
      <c r="DW17" s="475">
        <v>0</v>
      </c>
      <c r="DX17" s="475">
        <v>334</v>
      </c>
      <c r="DY17" s="475">
        <v>77</v>
      </c>
      <c r="DZ17" s="475">
        <v>0</v>
      </c>
      <c r="EA17" s="475">
        <v>0</v>
      </c>
      <c r="EB17" s="475">
        <v>2669</v>
      </c>
      <c r="EC17" s="475">
        <v>214</v>
      </c>
      <c r="ED17" s="475">
        <v>142728</v>
      </c>
      <c r="EE17" s="475">
        <v>18422</v>
      </c>
      <c r="EF17" s="475">
        <v>1558</v>
      </c>
      <c r="EG17" s="475">
        <v>2128</v>
      </c>
      <c r="EH17" s="475">
        <v>0</v>
      </c>
      <c r="EI17" s="475">
        <v>0</v>
      </c>
      <c r="EJ17" s="475">
        <v>0</v>
      </c>
      <c r="EK17" s="475">
        <v>0</v>
      </c>
      <c r="EL17" s="475">
        <v>180753</v>
      </c>
      <c r="EM17" s="475">
        <v>80392</v>
      </c>
      <c r="EN17" s="475">
        <v>1001</v>
      </c>
      <c r="EO17" s="475">
        <v>1286</v>
      </c>
      <c r="EP17" s="476">
        <v>0</v>
      </c>
      <c r="EQ17" s="476">
        <v>0</v>
      </c>
      <c r="ER17" s="476">
        <v>0</v>
      </c>
      <c r="ES17" s="476">
        <v>0</v>
      </c>
      <c r="ET17" s="476">
        <v>0</v>
      </c>
      <c r="EU17" s="476">
        <v>0</v>
      </c>
    </row>
    <row r="18" spans="1:151" ht="15.5">
      <c r="A18" s="474" t="s">
        <v>728</v>
      </c>
      <c r="B18" s="475">
        <v>227274</v>
      </c>
      <c r="C18" s="475">
        <v>38513</v>
      </c>
      <c r="D18" s="475">
        <v>2881980</v>
      </c>
      <c r="E18" s="475">
        <v>-42819</v>
      </c>
      <c r="F18" s="475">
        <v>2839161</v>
      </c>
      <c r="G18" s="475">
        <v>1467210</v>
      </c>
      <c r="H18" s="475">
        <v>1485907</v>
      </c>
      <c r="I18" s="475">
        <v>2979</v>
      </c>
      <c r="J18" s="475">
        <v>174246</v>
      </c>
      <c r="K18" s="475">
        <v>2158990</v>
      </c>
      <c r="L18" s="475">
        <v>30217</v>
      </c>
      <c r="M18" s="475">
        <v>30546</v>
      </c>
      <c r="N18" s="475">
        <v>17720</v>
      </c>
      <c r="O18" s="475">
        <v>38013</v>
      </c>
      <c r="P18" s="475">
        <v>19464</v>
      </c>
      <c r="Q18" s="475">
        <v>162768</v>
      </c>
      <c r="R18" s="475">
        <v>44089</v>
      </c>
      <c r="S18" s="475">
        <v>465203</v>
      </c>
      <c r="T18" s="475">
        <v>6792</v>
      </c>
      <c r="U18" s="475">
        <v>-47152</v>
      </c>
      <c r="V18" s="475">
        <v>10114</v>
      </c>
      <c r="W18" s="475">
        <v>31995</v>
      </c>
      <c r="X18" s="475">
        <v>5119</v>
      </c>
      <c r="Y18" s="475">
        <v>-10800</v>
      </c>
      <c r="Z18" s="475">
        <v>5072</v>
      </c>
      <c r="AA18" s="475">
        <v>35663</v>
      </c>
      <c r="AB18" s="475">
        <v>1846</v>
      </c>
      <c r="AC18" s="475">
        <v>-13019</v>
      </c>
      <c r="AD18" s="475">
        <v>3160</v>
      </c>
      <c r="AE18" s="475">
        <v>50673</v>
      </c>
      <c r="AF18" s="475">
        <v>1292</v>
      </c>
      <c r="AG18" s="475">
        <v>66857</v>
      </c>
      <c r="AH18" s="475">
        <v>222</v>
      </c>
      <c r="AI18" s="475">
        <v>2297</v>
      </c>
      <c r="AJ18" s="475">
        <v>0</v>
      </c>
      <c r="AK18" s="475">
        <v>0</v>
      </c>
      <c r="AL18" s="475">
        <v>0</v>
      </c>
      <c r="AM18" s="475">
        <v>0</v>
      </c>
      <c r="AN18" s="475">
        <v>222</v>
      </c>
      <c r="AO18" s="475">
        <v>-4470</v>
      </c>
      <c r="AP18" s="475">
        <v>35054</v>
      </c>
      <c r="AQ18" s="475">
        <v>205020</v>
      </c>
      <c r="AR18" s="475">
        <v>3829</v>
      </c>
      <c r="AS18" s="475">
        <v>88421</v>
      </c>
      <c r="AT18" s="475">
        <v>227274</v>
      </c>
      <c r="AU18" s="475">
        <v>2950784</v>
      </c>
      <c r="AV18" s="475">
        <v>889</v>
      </c>
      <c r="AW18" s="475">
        <v>2327</v>
      </c>
      <c r="AX18" s="475">
        <v>5501</v>
      </c>
      <c r="AY18" s="475">
        <v>4916</v>
      </c>
      <c r="AZ18" s="475">
        <v>2334</v>
      </c>
      <c r="BA18" s="475">
        <v>6864</v>
      </c>
      <c r="BB18" s="475">
        <v>0</v>
      </c>
      <c r="BC18" s="475">
        <v>0</v>
      </c>
      <c r="BD18" s="475">
        <v>43766</v>
      </c>
      <c r="BE18" s="475">
        <v>33786</v>
      </c>
      <c r="BF18" s="475">
        <v>3004</v>
      </c>
      <c r="BG18" s="475">
        <v>9666</v>
      </c>
      <c r="BH18" s="475">
        <v>0</v>
      </c>
      <c r="BI18" s="475">
        <v>0</v>
      </c>
      <c r="BJ18" s="475">
        <v>112</v>
      </c>
      <c r="BK18" s="475">
        <v>2</v>
      </c>
      <c r="BL18" s="475">
        <v>222</v>
      </c>
      <c r="BM18" s="475">
        <v>2427</v>
      </c>
      <c r="BN18" s="475">
        <v>0</v>
      </c>
      <c r="BO18" s="475">
        <v>0</v>
      </c>
      <c r="BP18" s="475">
        <v>51601</v>
      </c>
      <c r="BQ18" s="475">
        <v>66931</v>
      </c>
      <c r="BR18" s="475">
        <v>25582</v>
      </c>
      <c r="BS18" s="475">
        <v>140182</v>
      </c>
      <c r="BT18" s="475">
        <v>10065</v>
      </c>
      <c r="BU18" s="475">
        <v>97363</v>
      </c>
      <c r="BV18" s="475">
        <v>2947</v>
      </c>
      <c r="BW18" s="475">
        <v>64610</v>
      </c>
      <c r="BX18" s="475">
        <v>5726</v>
      </c>
      <c r="BY18" s="475">
        <v>6993</v>
      </c>
      <c r="BZ18" s="475">
        <v>4647</v>
      </c>
      <c r="CA18" s="475">
        <v>26181</v>
      </c>
      <c r="CB18" s="475">
        <v>1703</v>
      </c>
      <c r="CC18" s="475">
        <v>538</v>
      </c>
      <c r="CD18" s="475">
        <v>334</v>
      </c>
      <c r="CE18" s="475">
        <v>73</v>
      </c>
      <c r="CF18" s="475">
        <v>5760</v>
      </c>
      <c r="CG18" s="475">
        <v>33784</v>
      </c>
      <c r="CH18" s="475">
        <v>3758</v>
      </c>
      <c r="CI18" s="475">
        <v>54981</v>
      </c>
      <c r="CJ18" s="475">
        <v>113</v>
      </c>
      <c r="CK18" s="475">
        <v>3</v>
      </c>
      <c r="CL18" s="475">
        <v>3759</v>
      </c>
      <c r="CM18" s="475">
        <v>54984</v>
      </c>
      <c r="CN18" s="475">
        <v>2645</v>
      </c>
      <c r="CO18" s="475">
        <v>6047</v>
      </c>
      <c r="CP18" s="475">
        <v>1812</v>
      </c>
      <c r="CQ18" s="475">
        <v>1497</v>
      </c>
      <c r="CR18" s="475">
        <v>111</v>
      </c>
      <c r="CS18" s="475">
        <v>21</v>
      </c>
      <c r="CT18" s="475">
        <v>2757</v>
      </c>
      <c r="CU18" s="475">
        <v>7566</v>
      </c>
      <c r="CV18" s="475">
        <v>0</v>
      </c>
      <c r="CW18" s="475">
        <v>0</v>
      </c>
      <c r="CX18" s="475">
        <v>8040</v>
      </c>
      <c r="CY18" s="475">
        <v>14657</v>
      </c>
      <c r="CZ18" s="475">
        <v>5760</v>
      </c>
      <c r="DA18" s="475">
        <v>160247</v>
      </c>
      <c r="DB18" s="475">
        <v>0</v>
      </c>
      <c r="DC18" s="475">
        <v>0</v>
      </c>
      <c r="DD18" s="475">
        <v>16309</v>
      </c>
      <c r="DE18" s="475">
        <v>284080</v>
      </c>
      <c r="DF18" s="475">
        <v>210965</v>
      </c>
      <c r="DG18" s="475">
        <v>1183131</v>
      </c>
      <c r="DH18" s="475">
        <v>215908</v>
      </c>
      <c r="DI18" s="475">
        <v>26341</v>
      </c>
      <c r="DJ18" s="475">
        <v>90233</v>
      </c>
      <c r="DK18" s="475">
        <v>34108</v>
      </c>
      <c r="DL18" s="475">
        <v>38673</v>
      </c>
      <c r="DM18" s="475">
        <v>81</v>
      </c>
      <c r="DN18" s="475">
        <v>190984</v>
      </c>
      <c r="DO18" s="475">
        <v>65166</v>
      </c>
      <c r="DP18" s="475">
        <v>445</v>
      </c>
      <c r="DQ18" s="475">
        <v>27</v>
      </c>
      <c r="DR18" s="475">
        <v>5780</v>
      </c>
      <c r="DS18" s="475">
        <v>348</v>
      </c>
      <c r="DT18" s="475">
        <v>5224</v>
      </c>
      <c r="DU18" s="475">
        <v>313</v>
      </c>
      <c r="DV18" s="475">
        <v>0</v>
      </c>
      <c r="DW18" s="475">
        <v>0</v>
      </c>
      <c r="DX18" s="475">
        <v>445</v>
      </c>
      <c r="DY18" s="475">
        <v>85</v>
      </c>
      <c r="DZ18" s="475">
        <v>0</v>
      </c>
      <c r="EA18" s="475">
        <v>0</v>
      </c>
      <c r="EB18" s="475">
        <v>2223</v>
      </c>
      <c r="EC18" s="475">
        <v>168</v>
      </c>
      <c r="ED18" s="475">
        <v>141701</v>
      </c>
      <c r="EE18" s="475">
        <v>19517</v>
      </c>
      <c r="EF18" s="475">
        <v>2235</v>
      </c>
      <c r="EG18" s="475">
        <v>2995</v>
      </c>
      <c r="EH18" s="475">
        <v>112</v>
      </c>
      <c r="EI18" s="475">
        <v>158</v>
      </c>
      <c r="EJ18" s="475">
        <v>0</v>
      </c>
      <c r="EK18" s="475">
        <v>0</v>
      </c>
      <c r="EL18" s="475">
        <v>172949</v>
      </c>
      <c r="EM18" s="475">
        <v>70563</v>
      </c>
      <c r="EN18" s="475">
        <v>1000</v>
      </c>
      <c r="EO18" s="475">
        <v>178</v>
      </c>
      <c r="EP18" s="476">
        <v>0</v>
      </c>
      <c r="EQ18" s="476">
        <v>0</v>
      </c>
      <c r="ER18" s="476">
        <v>0</v>
      </c>
      <c r="ES18" s="476">
        <v>0</v>
      </c>
      <c r="ET18" s="476">
        <v>0</v>
      </c>
      <c r="EU18" s="476">
        <v>0</v>
      </c>
    </row>
    <row r="19" spans="1:151" ht="15.5">
      <c r="A19" s="474" t="s">
        <v>729</v>
      </c>
      <c r="B19" s="475">
        <v>222974</v>
      </c>
      <c r="C19" s="475">
        <v>27009</v>
      </c>
      <c r="D19" s="475">
        <v>3067098</v>
      </c>
      <c r="E19" s="475">
        <v>-56678</v>
      </c>
      <c r="F19" s="475">
        <v>3010419</v>
      </c>
      <c r="G19" s="475">
        <v>1450908</v>
      </c>
      <c r="H19" s="475">
        <v>1644328</v>
      </c>
      <c r="I19" s="475">
        <v>2985</v>
      </c>
      <c r="J19" s="475">
        <v>169281</v>
      </c>
      <c r="K19" s="475">
        <v>2274031</v>
      </c>
      <c r="L19" s="475">
        <v>29833</v>
      </c>
      <c r="M19" s="475">
        <v>35084</v>
      </c>
      <c r="N19" s="475">
        <v>13693</v>
      </c>
      <c r="O19" s="475">
        <v>36270</v>
      </c>
      <c r="P19" s="475">
        <v>19650</v>
      </c>
      <c r="Q19" s="475">
        <v>196952</v>
      </c>
      <c r="R19" s="475">
        <v>44571</v>
      </c>
      <c r="S19" s="475">
        <v>497933</v>
      </c>
      <c r="T19" s="475">
        <v>5123</v>
      </c>
      <c r="U19" s="475">
        <v>-50165</v>
      </c>
      <c r="V19" s="475">
        <v>8136</v>
      </c>
      <c r="W19" s="475">
        <v>27149</v>
      </c>
      <c r="X19" s="475">
        <v>5522</v>
      </c>
      <c r="Y19" s="475">
        <v>-11690</v>
      </c>
      <c r="Z19" s="475">
        <v>5748</v>
      </c>
      <c r="AA19" s="475">
        <v>50946</v>
      </c>
      <c r="AB19" s="475">
        <v>1790</v>
      </c>
      <c r="AC19" s="475">
        <v>-29337</v>
      </c>
      <c r="AD19" s="475">
        <v>2125</v>
      </c>
      <c r="AE19" s="475">
        <v>21607</v>
      </c>
      <c r="AF19" s="475">
        <v>1638</v>
      </c>
      <c r="AG19" s="475">
        <v>43795</v>
      </c>
      <c r="AH19" s="475">
        <v>111</v>
      </c>
      <c r="AI19" s="475">
        <v>247</v>
      </c>
      <c r="AJ19" s="475">
        <v>0</v>
      </c>
      <c r="AK19" s="475">
        <v>0</v>
      </c>
      <c r="AL19" s="475">
        <v>0</v>
      </c>
      <c r="AM19" s="475">
        <v>0</v>
      </c>
      <c r="AN19" s="475">
        <v>334</v>
      </c>
      <c r="AO19" s="475">
        <v>-1408</v>
      </c>
      <c r="AP19" s="475">
        <v>34618</v>
      </c>
      <c r="AQ19" s="475">
        <v>199501</v>
      </c>
      <c r="AR19" s="475">
        <v>3454</v>
      </c>
      <c r="AS19" s="475">
        <v>69265</v>
      </c>
      <c r="AT19" s="475">
        <v>222863</v>
      </c>
      <c r="AU19" s="475">
        <v>3134061</v>
      </c>
      <c r="AV19" s="475">
        <v>723</v>
      </c>
      <c r="AW19" s="475">
        <v>2768</v>
      </c>
      <c r="AX19" s="475">
        <v>5557</v>
      </c>
      <c r="AY19" s="475">
        <v>4025</v>
      </c>
      <c r="AZ19" s="475">
        <v>3445</v>
      </c>
      <c r="BA19" s="475">
        <v>9822</v>
      </c>
      <c r="BB19" s="475">
        <v>0</v>
      </c>
      <c r="BC19" s="475">
        <v>0</v>
      </c>
      <c r="BD19" s="475">
        <v>44292</v>
      </c>
      <c r="BE19" s="475">
        <v>36890</v>
      </c>
      <c r="BF19" s="475">
        <v>3335</v>
      </c>
      <c r="BG19" s="475">
        <v>14139</v>
      </c>
      <c r="BH19" s="475">
        <v>0</v>
      </c>
      <c r="BI19" s="475">
        <v>0</v>
      </c>
      <c r="BJ19" s="475">
        <v>111</v>
      </c>
      <c r="BK19" s="475">
        <v>2</v>
      </c>
      <c r="BL19" s="475">
        <v>0</v>
      </c>
      <c r="BM19" s="475">
        <v>0</v>
      </c>
      <c r="BN19" s="475">
        <v>0</v>
      </c>
      <c r="BO19" s="475">
        <v>0</v>
      </c>
      <c r="BP19" s="475">
        <v>53127</v>
      </c>
      <c r="BQ19" s="475">
        <v>69897</v>
      </c>
      <c r="BR19" s="475">
        <v>27356</v>
      </c>
      <c r="BS19" s="475">
        <v>134606</v>
      </c>
      <c r="BT19" s="475">
        <v>11581</v>
      </c>
      <c r="BU19" s="475">
        <v>77928</v>
      </c>
      <c r="BV19" s="475">
        <v>2566</v>
      </c>
      <c r="BW19" s="475">
        <v>41938</v>
      </c>
      <c r="BX19" s="475">
        <v>4057</v>
      </c>
      <c r="BY19" s="475">
        <v>7785</v>
      </c>
      <c r="BZ19" s="475">
        <v>3567</v>
      </c>
      <c r="CA19" s="475">
        <v>21889</v>
      </c>
      <c r="CB19" s="475">
        <v>1843</v>
      </c>
      <c r="CC19" s="475">
        <v>1008</v>
      </c>
      <c r="CD19" s="475">
        <v>388</v>
      </c>
      <c r="CE19" s="475">
        <v>99</v>
      </c>
      <c r="CF19" s="475">
        <v>4567</v>
      </c>
      <c r="CG19" s="475">
        <v>30780</v>
      </c>
      <c r="CH19" s="475">
        <v>3290</v>
      </c>
      <c r="CI19" s="475">
        <v>44647</v>
      </c>
      <c r="CJ19" s="475">
        <v>568</v>
      </c>
      <c r="CK19" s="475">
        <v>3102</v>
      </c>
      <c r="CL19" s="475">
        <v>3401</v>
      </c>
      <c r="CM19" s="475">
        <v>47748</v>
      </c>
      <c r="CN19" s="475">
        <v>1612</v>
      </c>
      <c r="CO19" s="475">
        <v>1880</v>
      </c>
      <c r="CP19" s="475">
        <v>1166</v>
      </c>
      <c r="CQ19" s="475">
        <v>473</v>
      </c>
      <c r="CR19" s="475">
        <v>111</v>
      </c>
      <c r="CS19" s="475">
        <v>592</v>
      </c>
      <c r="CT19" s="475">
        <v>2279</v>
      </c>
      <c r="CU19" s="475">
        <v>2945</v>
      </c>
      <c r="CV19" s="475">
        <v>0</v>
      </c>
      <c r="CW19" s="475">
        <v>0</v>
      </c>
      <c r="CX19" s="475">
        <v>7779</v>
      </c>
      <c r="CY19" s="475">
        <v>15983</v>
      </c>
      <c r="CZ19" s="475">
        <v>4790</v>
      </c>
      <c r="DA19" s="475">
        <v>118483</v>
      </c>
      <c r="DB19" s="475">
        <v>0</v>
      </c>
      <c r="DC19" s="475">
        <v>0</v>
      </c>
      <c r="DD19" s="475">
        <v>16202</v>
      </c>
      <c r="DE19" s="475">
        <v>261917</v>
      </c>
      <c r="DF19" s="475">
        <v>206772</v>
      </c>
      <c r="DG19" s="475">
        <v>1188991</v>
      </c>
      <c r="DH19" s="475">
        <v>225934</v>
      </c>
      <c r="DI19" s="475">
        <v>27564</v>
      </c>
      <c r="DJ19" s="475">
        <v>105645</v>
      </c>
      <c r="DK19" s="475">
        <v>39934</v>
      </c>
      <c r="DL19" s="475">
        <v>39775</v>
      </c>
      <c r="DM19" s="475">
        <v>14</v>
      </c>
      <c r="DN19" s="475">
        <v>197964</v>
      </c>
      <c r="DO19" s="475">
        <v>72349</v>
      </c>
      <c r="DP19" s="475">
        <v>111</v>
      </c>
      <c r="DQ19" s="475">
        <v>45</v>
      </c>
      <c r="DR19" s="475">
        <v>3223</v>
      </c>
      <c r="DS19" s="475">
        <v>232</v>
      </c>
      <c r="DT19" s="475">
        <v>3112</v>
      </c>
      <c r="DU19" s="475">
        <v>187</v>
      </c>
      <c r="DV19" s="475">
        <v>0</v>
      </c>
      <c r="DW19" s="475">
        <v>0</v>
      </c>
      <c r="DX19" s="475">
        <v>0</v>
      </c>
      <c r="DY19" s="475">
        <v>0</v>
      </c>
      <c r="DZ19" s="475">
        <v>0</v>
      </c>
      <c r="EA19" s="475">
        <v>0</v>
      </c>
      <c r="EB19" s="475">
        <v>2112</v>
      </c>
      <c r="EC19" s="475">
        <v>231</v>
      </c>
      <c r="ED19" s="475">
        <v>146048</v>
      </c>
      <c r="EE19" s="475">
        <v>24108</v>
      </c>
      <c r="EF19" s="475">
        <v>1613</v>
      </c>
      <c r="EG19" s="475">
        <v>2227</v>
      </c>
      <c r="EH19" s="475">
        <v>0</v>
      </c>
      <c r="EI19" s="475">
        <v>0</v>
      </c>
      <c r="EJ19" s="475">
        <v>0</v>
      </c>
      <c r="EK19" s="475">
        <v>0</v>
      </c>
      <c r="EL19" s="475">
        <v>174391</v>
      </c>
      <c r="EM19" s="475">
        <v>79734</v>
      </c>
      <c r="EN19" s="475">
        <v>723</v>
      </c>
      <c r="EO19" s="475">
        <v>1384</v>
      </c>
      <c r="EP19" s="476">
        <v>0</v>
      </c>
      <c r="EQ19" s="476">
        <v>0</v>
      </c>
      <c r="ER19" s="476">
        <v>0</v>
      </c>
      <c r="ES19" s="476">
        <v>0</v>
      </c>
      <c r="ET19" s="476">
        <v>0</v>
      </c>
      <c r="EU19" s="476">
        <v>0</v>
      </c>
    </row>
    <row r="20" spans="1:151" ht="15.5">
      <c r="A20" s="474" t="s">
        <v>730</v>
      </c>
      <c r="B20" s="475">
        <v>229637</v>
      </c>
      <c r="C20" s="475">
        <v>29121</v>
      </c>
      <c r="D20" s="475">
        <v>3389040</v>
      </c>
      <c r="E20" s="475">
        <v>-59980</v>
      </c>
      <c r="F20" s="475">
        <v>3329060</v>
      </c>
      <c r="G20" s="475">
        <v>1487659</v>
      </c>
      <c r="H20" s="475">
        <v>1903802</v>
      </c>
      <c r="I20" s="475">
        <v>3609</v>
      </c>
      <c r="J20" s="475">
        <v>172735</v>
      </c>
      <c r="K20" s="475">
        <v>2419988</v>
      </c>
      <c r="L20" s="475">
        <v>26832</v>
      </c>
      <c r="M20" s="475">
        <v>19045</v>
      </c>
      <c r="N20" s="475">
        <v>14911</v>
      </c>
      <c r="O20" s="475">
        <v>49685</v>
      </c>
      <c r="P20" s="475">
        <v>20514</v>
      </c>
      <c r="Q20" s="475">
        <v>191855</v>
      </c>
      <c r="R20" s="475">
        <v>55919</v>
      </c>
      <c r="S20" s="475">
        <v>673381</v>
      </c>
      <c r="T20" s="475">
        <v>5570</v>
      </c>
      <c r="U20" s="475">
        <v>-42244</v>
      </c>
      <c r="V20" s="475">
        <v>7786</v>
      </c>
      <c r="W20" s="475">
        <v>27023</v>
      </c>
      <c r="X20" s="475">
        <v>6086</v>
      </c>
      <c r="Y20" s="475">
        <v>-14337</v>
      </c>
      <c r="Z20" s="475">
        <v>4690</v>
      </c>
      <c r="AA20" s="475">
        <v>42473</v>
      </c>
      <c r="AB20" s="475">
        <v>2005</v>
      </c>
      <c r="AC20" s="475">
        <v>-17710</v>
      </c>
      <c r="AD20" s="475">
        <v>1963</v>
      </c>
      <c r="AE20" s="475">
        <v>21515</v>
      </c>
      <c r="AF20" s="475">
        <v>1561</v>
      </c>
      <c r="AG20" s="475">
        <v>23487</v>
      </c>
      <c r="AH20" s="475">
        <v>510</v>
      </c>
      <c r="AI20" s="475">
        <v>2095</v>
      </c>
      <c r="AJ20" s="475">
        <v>56</v>
      </c>
      <c r="AK20" s="475">
        <v>59</v>
      </c>
      <c r="AL20" s="475">
        <v>333</v>
      </c>
      <c r="AM20" s="475">
        <v>2475</v>
      </c>
      <c r="AN20" s="475">
        <v>112</v>
      </c>
      <c r="AO20" s="475">
        <v>-1156</v>
      </c>
      <c r="AP20" s="475">
        <v>38868</v>
      </c>
      <c r="AQ20" s="475">
        <v>211801</v>
      </c>
      <c r="AR20" s="475">
        <v>3845</v>
      </c>
      <c r="AS20" s="475">
        <v>84509</v>
      </c>
      <c r="AT20" s="475">
        <v>229637</v>
      </c>
      <c r="AU20" s="475">
        <v>3479327</v>
      </c>
      <c r="AV20" s="475">
        <v>1224</v>
      </c>
      <c r="AW20" s="475">
        <v>5636</v>
      </c>
      <c r="AX20" s="475">
        <v>6612</v>
      </c>
      <c r="AY20" s="475">
        <v>6940</v>
      </c>
      <c r="AZ20" s="475">
        <v>1446</v>
      </c>
      <c r="BA20" s="475">
        <v>4698</v>
      </c>
      <c r="BB20" s="475">
        <v>0</v>
      </c>
      <c r="BC20" s="475">
        <v>0</v>
      </c>
      <c r="BD20" s="475">
        <v>55365</v>
      </c>
      <c r="BE20" s="475">
        <v>48229</v>
      </c>
      <c r="BF20" s="475">
        <v>2948</v>
      </c>
      <c r="BG20" s="475">
        <v>10267</v>
      </c>
      <c r="BH20" s="475">
        <v>111</v>
      </c>
      <c r="BI20" s="475">
        <v>66</v>
      </c>
      <c r="BJ20" s="475">
        <v>122</v>
      </c>
      <c r="BK20" s="475">
        <v>17</v>
      </c>
      <c r="BL20" s="475">
        <v>277</v>
      </c>
      <c r="BM20" s="475">
        <v>7196</v>
      </c>
      <c r="BN20" s="475">
        <v>0</v>
      </c>
      <c r="BO20" s="475">
        <v>0</v>
      </c>
      <c r="BP20" s="475">
        <v>63544</v>
      </c>
      <c r="BQ20" s="475">
        <v>84198</v>
      </c>
      <c r="BR20" s="475">
        <v>30585</v>
      </c>
      <c r="BS20" s="475">
        <v>152456</v>
      </c>
      <c r="BT20" s="475">
        <v>9294</v>
      </c>
      <c r="BU20" s="475">
        <v>92476</v>
      </c>
      <c r="BV20" s="475">
        <v>4135</v>
      </c>
      <c r="BW20" s="475">
        <v>59909</v>
      </c>
      <c r="BX20" s="475">
        <v>5118</v>
      </c>
      <c r="BY20" s="475">
        <v>5734</v>
      </c>
      <c r="BZ20" s="475">
        <v>4239</v>
      </c>
      <c r="CA20" s="475">
        <v>22125</v>
      </c>
      <c r="CB20" s="475">
        <v>3337</v>
      </c>
      <c r="CC20" s="475">
        <v>1532</v>
      </c>
      <c r="CD20" s="475">
        <v>556</v>
      </c>
      <c r="CE20" s="475">
        <v>77</v>
      </c>
      <c r="CF20" s="475">
        <v>5352</v>
      </c>
      <c r="CG20" s="475">
        <v>29467</v>
      </c>
      <c r="CH20" s="475">
        <v>2852</v>
      </c>
      <c r="CI20" s="475">
        <v>29292</v>
      </c>
      <c r="CJ20" s="475">
        <v>280</v>
      </c>
      <c r="CK20" s="475">
        <v>455</v>
      </c>
      <c r="CL20" s="475">
        <v>2853</v>
      </c>
      <c r="CM20" s="475">
        <v>29746</v>
      </c>
      <c r="CN20" s="475">
        <v>2944</v>
      </c>
      <c r="CO20" s="475">
        <v>6430</v>
      </c>
      <c r="CP20" s="475">
        <v>2276</v>
      </c>
      <c r="CQ20" s="475">
        <v>1665</v>
      </c>
      <c r="CR20" s="475">
        <v>278</v>
      </c>
      <c r="CS20" s="475">
        <v>2285</v>
      </c>
      <c r="CT20" s="475">
        <v>3389</v>
      </c>
      <c r="CU20" s="475">
        <v>10380</v>
      </c>
      <c r="CV20" s="475">
        <v>0</v>
      </c>
      <c r="CW20" s="475">
        <v>0</v>
      </c>
      <c r="CX20" s="475">
        <v>7697</v>
      </c>
      <c r="CY20" s="475">
        <v>16529</v>
      </c>
      <c r="CZ20" s="475">
        <v>5364</v>
      </c>
      <c r="DA20" s="475">
        <v>128743</v>
      </c>
      <c r="DB20" s="475">
        <v>0</v>
      </c>
      <c r="DC20" s="475">
        <v>0</v>
      </c>
      <c r="DD20" s="475">
        <v>14665</v>
      </c>
      <c r="DE20" s="475">
        <v>229764</v>
      </c>
      <c r="DF20" s="475">
        <v>214749</v>
      </c>
      <c r="DG20" s="475">
        <v>1257894</v>
      </c>
      <c r="DH20" s="475">
        <v>231820</v>
      </c>
      <c r="DI20" s="475">
        <v>28282</v>
      </c>
      <c r="DJ20" s="475">
        <v>129828</v>
      </c>
      <c r="DK20" s="475">
        <v>49075</v>
      </c>
      <c r="DL20" s="475">
        <v>34951</v>
      </c>
      <c r="DM20" s="475">
        <v>27</v>
      </c>
      <c r="DN20" s="475">
        <v>203292</v>
      </c>
      <c r="DO20" s="475">
        <v>81619</v>
      </c>
      <c r="DP20" s="475">
        <v>556</v>
      </c>
      <c r="DQ20" s="475">
        <v>32</v>
      </c>
      <c r="DR20" s="475">
        <v>3669</v>
      </c>
      <c r="DS20" s="475">
        <v>213</v>
      </c>
      <c r="DT20" s="475">
        <v>3002</v>
      </c>
      <c r="DU20" s="475">
        <v>180</v>
      </c>
      <c r="DV20" s="475">
        <v>0</v>
      </c>
      <c r="DW20" s="475">
        <v>0</v>
      </c>
      <c r="DX20" s="475">
        <v>222</v>
      </c>
      <c r="DY20" s="475">
        <v>62</v>
      </c>
      <c r="DZ20" s="475">
        <v>0</v>
      </c>
      <c r="EA20" s="475">
        <v>0</v>
      </c>
      <c r="EB20" s="475">
        <v>2779</v>
      </c>
      <c r="EC20" s="475">
        <v>157</v>
      </c>
      <c r="ED20" s="475">
        <v>150891</v>
      </c>
      <c r="EE20" s="475">
        <v>23775</v>
      </c>
      <c r="EF20" s="475">
        <v>2113</v>
      </c>
      <c r="EG20" s="475">
        <v>3489</v>
      </c>
      <c r="EH20" s="475">
        <v>0</v>
      </c>
      <c r="EI20" s="475">
        <v>0</v>
      </c>
      <c r="EJ20" s="475">
        <v>0</v>
      </c>
      <c r="EK20" s="475">
        <v>0</v>
      </c>
      <c r="EL20" s="475">
        <v>187015</v>
      </c>
      <c r="EM20" s="475">
        <v>80993</v>
      </c>
      <c r="EN20" s="475">
        <v>1222</v>
      </c>
      <c r="EO20" s="475">
        <v>2626</v>
      </c>
      <c r="EP20" s="476">
        <v>0</v>
      </c>
      <c r="EQ20" s="476">
        <v>0</v>
      </c>
      <c r="ER20" s="476">
        <v>0</v>
      </c>
      <c r="ES20" s="476">
        <v>0</v>
      </c>
      <c r="ET20" s="476">
        <v>0</v>
      </c>
      <c r="EU20" s="476">
        <v>0</v>
      </c>
    </row>
    <row r="21" spans="1:151" ht="15.5">
      <c r="A21" s="474" t="s">
        <v>731</v>
      </c>
      <c r="B21" s="475">
        <v>231760</v>
      </c>
      <c r="C21" s="475">
        <v>69523</v>
      </c>
      <c r="D21" s="475">
        <v>3660808</v>
      </c>
      <c r="E21" s="475">
        <v>-69591</v>
      </c>
      <c r="F21" s="475">
        <v>3591217</v>
      </c>
      <c r="G21" s="475">
        <v>1557902</v>
      </c>
      <c r="H21" s="475">
        <v>2123194</v>
      </c>
      <c r="I21" s="475">
        <v>3964</v>
      </c>
      <c r="J21" s="475">
        <v>174684</v>
      </c>
      <c r="K21" s="475">
        <v>2613267</v>
      </c>
      <c r="L21" s="475">
        <v>31272</v>
      </c>
      <c r="M21" s="475">
        <v>30294</v>
      </c>
      <c r="N21" s="475">
        <v>15631</v>
      </c>
      <c r="O21" s="475">
        <v>47605</v>
      </c>
      <c r="P21" s="475">
        <v>24698</v>
      </c>
      <c r="Q21" s="475">
        <v>247628</v>
      </c>
      <c r="R21" s="475">
        <v>49130</v>
      </c>
      <c r="S21" s="475">
        <v>614833</v>
      </c>
      <c r="T21" s="475">
        <v>5445</v>
      </c>
      <c r="U21" s="475">
        <v>-48254</v>
      </c>
      <c r="V21" s="475">
        <v>9580</v>
      </c>
      <c r="W21" s="475">
        <v>38013</v>
      </c>
      <c r="X21" s="475">
        <v>5840</v>
      </c>
      <c r="Y21" s="475">
        <v>-12218</v>
      </c>
      <c r="Z21" s="475">
        <v>5013</v>
      </c>
      <c r="AA21" s="475">
        <v>35440</v>
      </c>
      <c r="AB21" s="475">
        <v>1802</v>
      </c>
      <c r="AC21" s="475">
        <v>-15658</v>
      </c>
      <c r="AD21" s="475">
        <v>3257</v>
      </c>
      <c r="AE21" s="475">
        <v>36803</v>
      </c>
      <c r="AF21" s="475">
        <v>2127</v>
      </c>
      <c r="AG21" s="475">
        <v>24229</v>
      </c>
      <c r="AH21" s="475">
        <v>445</v>
      </c>
      <c r="AI21" s="475">
        <v>5702</v>
      </c>
      <c r="AJ21" s="475">
        <v>166</v>
      </c>
      <c r="AK21" s="475">
        <v>5923</v>
      </c>
      <c r="AL21" s="475">
        <v>0</v>
      </c>
      <c r="AM21" s="475">
        <v>0</v>
      </c>
      <c r="AN21" s="475">
        <v>0</v>
      </c>
      <c r="AO21" s="475">
        <v>0</v>
      </c>
      <c r="AP21" s="475">
        <v>43414</v>
      </c>
      <c r="AQ21" s="475">
        <v>249562</v>
      </c>
      <c r="AR21" s="475">
        <v>2631</v>
      </c>
      <c r="AS21" s="475">
        <v>67904</v>
      </c>
      <c r="AT21" s="475">
        <v>231649</v>
      </c>
      <c r="AU21" s="475">
        <v>3744961</v>
      </c>
      <c r="AV21" s="475">
        <v>1000</v>
      </c>
      <c r="AW21" s="475">
        <v>3527</v>
      </c>
      <c r="AX21" s="475">
        <v>7445</v>
      </c>
      <c r="AY21" s="475">
        <v>6257</v>
      </c>
      <c r="AZ21" s="475">
        <v>2335</v>
      </c>
      <c r="BA21" s="475">
        <v>7281</v>
      </c>
      <c r="BB21" s="475">
        <v>0</v>
      </c>
      <c r="BC21" s="475">
        <v>0</v>
      </c>
      <c r="BD21" s="475">
        <v>47965</v>
      </c>
      <c r="BE21" s="475">
        <v>43867</v>
      </c>
      <c r="BF21" s="475">
        <v>3836</v>
      </c>
      <c r="BG21" s="475">
        <v>16763</v>
      </c>
      <c r="BH21" s="475">
        <v>334</v>
      </c>
      <c r="BI21" s="475">
        <v>698</v>
      </c>
      <c r="BJ21" s="475">
        <v>333</v>
      </c>
      <c r="BK21" s="475">
        <v>127</v>
      </c>
      <c r="BL21" s="475">
        <v>445</v>
      </c>
      <c r="BM21" s="475">
        <v>4831</v>
      </c>
      <c r="BN21" s="475">
        <v>0</v>
      </c>
      <c r="BO21" s="475">
        <v>0</v>
      </c>
      <c r="BP21" s="475">
        <v>58966</v>
      </c>
      <c r="BQ21" s="475">
        <v>86793</v>
      </c>
      <c r="BR21" s="475">
        <v>35532</v>
      </c>
      <c r="BS21" s="475">
        <v>135070</v>
      </c>
      <c r="BT21" s="475">
        <v>10077</v>
      </c>
      <c r="BU21" s="475">
        <v>65479</v>
      </c>
      <c r="BV21" s="475">
        <v>3613</v>
      </c>
      <c r="BW21" s="475">
        <v>68733</v>
      </c>
      <c r="BX21" s="475">
        <v>5849</v>
      </c>
      <c r="BY21" s="475">
        <v>11483</v>
      </c>
      <c r="BZ21" s="475">
        <v>4849</v>
      </c>
      <c r="CA21" s="475">
        <v>25361</v>
      </c>
      <c r="CB21" s="475">
        <v>3623</v>
      </c>
      <c r="CC21" s="475">
        <v>1071</v>
      </c>
      <c r="CD21" s="475" t="s">
        <v>714</v>
      </c>
      <c r="CE21" s="475">
        <v>1</v>
      </c>
      <c r="CF21" s="475">
        <v>6295</v>
      </c>
      <c r="CG21" s="475">
        <v>37915</v>
      </c>
      <c r="CH21" s="475">
        <v>3960</v>
      </c>
      <c r="CI21" s="475">
        <v>50562</v>
      </c>
      <c r="CJ21" s="475">
        <v>680</v>
      </c>
      <c r="CK21" s="475">
        <v>407</v>
      </c>
      <c r="CL21" s="475">
        <v>4293</v>
      </c>
      <c r="CM21" s="475">
        <v>50968</v>
      </c>
      <c r="CN21" s="475">
        <v>2779</v>
      </c>
      <c r="CO21" s="475">
        <v>7222</v>
      </c>
      <c r="CP21" s="475">
        <v>1556</v>
      </c>
      <c r="CQ21" s="475">
        <v>832</v>
      </c>
      <c r="CR21" s="475">
        <v>111</v>
      </c>
      <c r="CS21" s="475">
        <v>222</v>
      </c>
      <c r="CT21" s="475">
        <v>3334</v>
      </c>
      <c r="CU21" s="475">
        <v>8277</v>
      </c>
      <c r="CV21" s="475">
        <v>0</v>
      </c>
      <c r="CW21" s="475">
        <v>0</v>
      </c>
      <c r="CX21" s="475">
        <v>7981</v>
      </c>
      <c r="CY21" s="475">
        <v>21389</v>
      </c>
      <c r="CZ21" s="475">
        <v>6295</v>
      </c>
      <c r="DA21" s="475">
        <v>167766</v>
      </c>
      <c r="DB21" s="475">
        <v>0</v>
      </c>
      <c r="DC21" s="475">
        <v>0</v>
      </c>
      <c r="DD21" s="475">
        <v>17809</v>
      </c>
      <c r="DE21" s="475">
        <v>308500</v>
      </c>
      <c r="DF21" s="475">
        <v>213951</v>
      </c>
      <c r="DG21" s="475">
        <v>1249402</v>
      </c>
      <c r="DH21" s="475">
        <v>239465</v>
      </c>
      <c r="DI21" s="475">
        <v>29215</v>
      </c>
      <c r="DJ21" s="475">
        <v>125149</v>
      </c>
      <c r="DK21" s="475">
        <v>47306</v>
      </c>
      <c r="DL21" s="475">
        <v>44888</v>
      </c>
      <c r="DM21" s="475">
        <v>54</v>
      </c>
      <c r="DN21" s="475">
        <v>209415</v>
      </c>
      <c r="DO21" s="475">
        <v>81996</v>
      </c>
      <c r="DP21" s="475">
        <v>556</v>
      </c>
      <c r="DQ21" s="475">
        <v>37</v>
      </c>
      <c r="DR21" s="475">
        <v>42237</v>
      </c>
      <c r="DS21" s="475">
        <v>582</v>
      </c>
      <c r="DT21" s="475">
        <v>41793</v>
      </c>
      <c r="DU21" s="475">
        <v>544</v>
      </c>
      <c r="DV21" s="475">
        <v>0</v>
      </c>
      <c r="DW21" s="475">
        <v>0</v>
      </c>
      <c r="DX21" s="475">
        <v>222</v>
      </c>
      <c r="DY21" s="475">
        <v>64</v>
      </c>
      <c r="DZ21" s="475">
        <v>0</v>
      </c>
      <c r="EA21" s="475">
        <v>0</v>
      </c>
      <c r="EB21" s="475">
        <v>3446</v>
      </c>
      <c r="EC21" s="475">
        <v>176</v>
      </c>
      <c r="ED21" s="475">
        <v>157009</v>
      </c>
      <c r="EE21" s="475">
        <v>27257</v>
      </c>
      <c r="EF21" s="475">
        <v>1835</v>
      </c>
      <c r="EG21" s="475">
        <v>3196</v>
      </c>
      <c r="EH21" s="475">
        <v>0</v>
      </c>
      <c r="EI21" s="475">
        <v>0</v>
      </c>
      <c r="EJ21" s="475">
        <v>0</v>
      </c>
      <c r="EK21" s="475">
        <v>0</v>
      </c>
      <c r="EL21" s="475">
        <v>191077</v>
      </c>
      <c r="EM21" s="475">
        <v>82039</v>
      </c>
      <c r="EN21" s="475">
        <v>1277</v>
      </c>
      <c r="EO21" s="475">
        <v>832</v>
      </c>
      <c r="EP21" s="476">
        <v>0</v>
      </c>
      <c r="EQ21" s="476">
        <v>0</v>
      </c>
      <c r="ER21" s="476">
        <v>0</v>
      </c>
      <c r="ES21" s="476">
        <v>0</v>
      </c>
      <c r="ET21" s="476">
        <v>0</v>
      </c>
      <c r="EU21" s="476">
        <v>0</v>
      </c>
    </row>
    <row r="22" spans="1:151" ht="15.5">
      <c r="A22" s="474" t="s">
        <v>732</v>
      </c>
      <c r="B22" s="475">
        <v>223165</v>
      </c>
      <c r="C22" s="475">
        <v>73925</v>
      </c>
      <c r="D22" s="475">
        <v>3795224</v>
      </c>
      <c r="E22" s="475">
        <v>-112368</v>
      </c>
      <c r="F22" s="475">
        <v>3682978</v>
      </c>
      <c r="G22" s="475">
        <v>1495945</v>
      </c>
      <c r="H22" s="475">
        <v>2263715</v>
      </c>
      <c r="I22" s="475">
        <v>5039</v>
      </c>
      <c r="J22" s="475">
        <v>174102</v>
      </c>
      <c r="K22" s="475">
        <v>2774680</v>
      </c>
      <c r="L22" s="475">
        <v>32411</v>
      </c>
      <c r="M22" s="475">
        <v>30751</v>
      </c>
      <c r="N22" s="475">
        <v>16919</v>
      </c>
      <c r="O22" s="475">
        <v>47743</v>
      </c>
      <c r="P22" s="475">
        <v>23509</v>
      </c>
      <c r="Q22" s="475">
        <v>253832</v>
      </c>
      <c r="R22" s="475">
        <v>43403</v>
      </c>
      <c r="S22" s="475">
        <v>563664</v>
      </c>
      <c r="T22" s="475">
        <v>6447</v>
      </c>
      <c r="U22" s="475">
        <v>-54079</v>
      </c>
      <c r="V22" s="475">
        <v>9515</v>
      </c>
      <c r="W22" s="475">
        <v>32476</v>
      </c>
      <c r="X22" s="475">
        <v>7458</v>
      </c>
      <c r="Y22" s="475">
        <v>-16653</v>
      </c>
      <c r="Z22" s="475">
        <v>6060</v>
      </c>
      <c r="AA22" s="475">
        <v>60261</v>
      </c>
      <c r="AB22" s="475">
        <v>2355</v>
      </c>
      <c r="AC22" s="475">
        <v>-15475</v>
      </c>
      <c r="AD22" s="475">
        <v>2849</v>
      </c>
      <c r="AE22" s="475">
        <v>34356</v>
      </c>
      <c r="AF22" s="475">
        <v>2461</v>
      </c>
      <c r="AG22" s="475">
        <v>23307</v>
      </c>
      <c r="AH22" s="475">
        <v>445</v>
      </c>
      <c r="AI22" s="475">
        <v>2997</v>
      </c>
      <c r="AJ22" s="475">
        <v>111</v>
      </c>
      <c r="AK22" s="475">
        <v>428</v>
      </c>
      <c r="AL22" s="475">
        <v>111</v>
      </c>
      <c r="AM22" s="475">
        <v>1039</v>
      </c>
      <c r="AN22" s="475">
        <v>0</v>
      </c>
      <c r="AO22" s="475">
        <v>0</v>
      </c>
      <c r="AP22" s="475">
        <v>42155</v>
      </c>
      <c r="AQ22" s="475">
        <v>247461</v>
      </c>
      <c r="AR22" s="475">
        <v>3121</v>
      </c>
      <c r="AS22" s="475">
        <v>65360</v>
      </c>
      <c r="AT22" s="475">
        <v>223165</v>
      </c>
      <c r="AU22" s="475">
        <v>3874480</v>
      </c>
      <c r="AV22" s="475">
        <v>2112</v>
      </c>
      <c r="AW22" s="475">
        <v>5016</v>
      </c>
      <c r="AX22" s="475">
        <v>8781</v>
      </c>
      <c r="AY22" s="475">
        <v>7889</v>
      </c>
      <c r="AZ22" s="475">
        <v>1223</v>
      </c>
      <c r="BA22" s="475">
        <v>3237</v>
      </c>
      <c r="BB22" s="475">
        <v>222</v>
      </c>
      <c r="BC22" s="475">
        <v>667</v>
      </c>
      <c r="BD22" s="475">
        <v>42962</v>
      </c>
      <c r="BE22" s="475">
        <v>41182</v>
      </c>
      <c r="BF22" s="475">
        <v>3681</v>
      </c>
      <c r="BG22" s="475">
        <v>14722</v>
      </c>
      <c r="BH22" s="475">
        <v>334</v>
      </c>
      <c r="BI22" s="475">
        <v>905</v>
      </c>
      <c r="BJ22" s="475">
        <v>222</v>
      </c>
      <c r="BK22" s="475">
        <v>113</v>
      </c>
      <c r="BL22" s="475">
        <v>111</v>
      </c>
      <c r="BM22" s="475">
        <v>641</v>
      </c>
      <c r="BN22" s="475">
        <v>0</v>
      </c>
      <c r="BO22" s="475">
        <v>0</v>
      </c>
      <c r="BP22" s="475">
        <v>52409</v>
      </c>
      <c r="BQ22" s="475">
        <v>78406</v>
      </c>
      <c r="BR22" s="475">
        <v>36272</v>
      </c>
      <c r="BS22" s="475">
        <v>186372</v>
      </c>
      <c r="BT22" s="475">
        <v>7400</v>
      </c>
      <c r="BU22" s="475">
        <v>74004</v>
      </c>
      <c r="BV22" s="475">
        <v>4625</v>
      </c>
      <c r="BW22" s="475">
        <v>43036</v>
      </c>
      <c r="BX22" s="475">
        <v>6327</v>
      </c>
      <c r="BY22" s="475">
        <v>7671</v>
      </c>
      <c r="BZ22" s="475">
        <v>5517</v>
      </c>
      <c r="CA22" s="475">
        <v>28287</v>
      </c>
      <c r="CB22" s="475">
        <v>3503</v>
      </c>
      <c r="CC22" s="475">
        <v>2495</v>
      </c>
      <c r="CD22" s="475">
        <v>556</v>
      </c>
      <c r="CE22" s="475">
        <v>114</v>
      </c>
      <c r="CF22" s="475">
        <v>6772</v>
      </c>
      <c r="CG22" s="475">
        <v>38567</v>
      </c>
      <c r="CH22" s="475">
        <v>5103</v>
      </c>
      <c r="CI22" s="475">
        <v>66599</v>
      </c>
      <c r="CJ22" s="475">
        <v>1225</v>
      </c>
      <c r="CK22" s="475">
        <v>16406</v>
      </c>
      <c r="CL22" s="475">
        <v>5215</v>
      </c>
      <c r="CM22" s="475">
        <v>83005</v>
      </c>
      <c r="CN22" s="475">
        <v>3870</v>
      </c>
      <c r="CO22" s="475">
        <v>7558</v>
      </c>
      <c r="CP22" s="475">
        <v>2312</v>
      </c>
      <c r="CQ22" s="475">
        <v>1940</v>
      </c>
      <c r="CR22" s="475">
        <v>445</v>
      </c>
      <c r="CS22" s="475">
        <v>941</v>
      </c>
      <c r="CT22" s="475">
        <v>4426</v>
      </c>
      <c r="CU22" s="475">
        <v>10439</v>
      </c>
      <c r="CV22" s="475">
        <v>0</v>
      </c>
      <c r="CW22" s="475">
        <v>0</v>
      </c>
      <c r="CX22" s="475">
        <v>6461</v>
      </c>
      <c r="CY22" s="475">
        <v>12313</v>
      </c>
      <c r="CZ22" s="475">
        <v>6772</v>
      </c>
      <c r="DA22" s="475">
        <v>172600</v>
      </c>
      <c r="DB22" s="475">
        <v>111</v>
      </c>
      <c r="DC22" s="475">
        <v>34</v>
      </c>
      <c r="DD22" s="475">
        <v>17717</v>
      </c>
      <c r="DE22" s="475">
        <v>298498</v>
      </c>
      <c r="DF22" s="475">
        <v>205447</v>
      </c>
      <c r="DG22" s="475">
        <v>1197447</v>
      </c>
      <c r="DH22" s="475">
        <v>231778</v>
      </c>
      <c r="DI22" s="475">
        <v>28277</v>
      </c>
      <c r="DJ22" s="475">
        <v>116952</v>
      </c>
      <c r="DK22" s="475">
        <v>44208</v>
      </c>
      <c r="DL22" s="475">
        <v>38935</v>
      </c>
      <c r="DM22" s="475">
        <v>27</v>
      </c>
      <c r="DN22" s="475">
        <v>203933</v>
      </c>
      <c r="DO22" s="475">
        <v>77231</v>
      </c>
      <c r="DP22" s="475">
        <v>556</v>
      </c>
      <c r="DQ22" s="475">
        <v>18</v>
      </c>
      <c r="DR22" s="475">
        <v>48250</v>
      </c>
      <c r="DS22" s="475">
        <v>1495</v>
      </c>
      <c r="DT22" s="475">
        <v>47472</v>
      </c>
      <c r="DU22" s="475">
        <v>1448</v>
      </c>
      <c r="DV22" s="475">
        <v>0</v>
      </c>
      <c r="DW22" s="475">
        <v>0</v>
      </c>
      <c r="DX22" s="475">
        <v>111</v>
      </c>
      <c r="DY22" s="475">
        <v>49</v>
      </c>
      <c r="DZ22" s="475">
        <v>0</v>
      </c>
      <c r="EA22" s="475">
        <v>0</v>
      </c>
      <c r="EB22" s="475">
        <v>2779</v>
      </c>
      <c r="EC22" s="475">
        <v>214</v>
      </c>
      <c r="ED22" s="475">
        <v>154771</v>
      </c>
      <c r="EE22" s="475">
        <v>30686</v>
      </c>
      <c r="EF22" s="475">
        <v>1557</v>
      </c>
      <c r="EG22" s="475">
        <v>1959</v>
      </c>
      <c r="EH22" s="475">
        <v>111</v>
      </c>
      <c r="EI22" s="475">
        <v>17</v>
      </c>
      <c r="EJ22" s="475">
        <v>0</v>
      </c>
      <c r="EK22" s="475">
        <v>0</v>
      </c>
      <c r="EL22" s="475">
        <v>184906</v>
      </c>
      <c r="EM22" s="475">
        <v>76354</v>
      </c>
      <c r="EN22" s="475">
        <v>889</v>
      </c>
      <c r="EO22" s="475">
        <v>698</v>
      </c>
      <c r="EP22" s="476">
        <v>0</v>
      </c>
      <c r="EQ22" s="476">
        <v>0</v>
      </c>
      <c r="ER22" s="476">
        <v>0</v>
      </c>
      <c r="ES22" s="476">
        <v>0</v>
      </c>
      <c r="ET22" s="476">
        <v>0</v>
      </c>
      <c r="EU22" s="476">
        <v>0</v>
      </c>
    </row>
    <row r="23" spans="1:151" ht="15.5">
      <c r="A23" s="474" t="s">
        <v>733</v>
      </c>
      <c r="B23" s="475">
        <v>212938</v>
      </c>
      <c r="C23" s="475">
        <v>72379</v>
      </c>
      <c r="D23" s="475">
        <v>3857229</v>
      </c>
      <c r="E23" s="475">
        <v>-132469</v>
      </c>
      <c r="F23" s="475">
        <v>3724759</v>
      </c>
      <c r="G23" s="475">
        <v>1516492</v>
      </c>
      <c r="H23" s="475">
        <v>2324005</v>
      </c>
      <c r="I23" s="475">
        <v>6041</v>
      </c>
      <c r="J23" s="475">
        <v>168537</v>
      </c>
      <c r="K23" s="475">
        <v>2854019</v>
      </c>
      <c r="L23" s="475">
        <v>31770</v>
      </c>
      <c r="M23" s="475">
        <v>39036</v>
      </c>
      <c r="N23" s="475">
        <v>14051</v>
      </c>
      <c r="O23" s="475">
        <v>43074</v>
      </c>
      <c r="P23" s="475">
        <v>25750</v>
      </c>
      <c r="Q23" s="475">
        <v>275592</v>
      </c>
      <c r="R23" s="475">
        <v>40790</v>
      </c>
      <c r="S23" s="475">
        <v>527377</v>
      </c>
      <c r="T23" s="475">
        <v>6125</v>
      </c>
      <c r="U23" s="475">
        <v>-55514</v>
      </c>
      <c r="V23" s="475">
        <v>7191</v>
      </c>
      <c r="W23" s="475">
        <v>57260</v>
      </c>
      <c r="X23" s="475">
        <v>5033</v>
      </c>
      <c r="Y23" s="475">
        <v>-10203</v>
      </c>
      <c r="Z23" s="475">
        <v>5181</v>
      </c>
      <c r="AA23" s="475">
        <v>36834</v>
      </c>
      <c r="AB23" s="475">
        <v>2022</v>
      </c>
      <c r="AC23" s="475">
        <v>-30217</v>
      </c>
      <c r="AD23" s="475">
        <v>2117</v>
      </c>
      <c r="AE23" s="475">
        <v>21610</v>
      </c>
      <c r="AF23" s="475">
        <v>2048</v>
      </c>
      <c r="AG23" s="475">
        <v>28768</v>
      </c>
      <c r="AH23" s="475">
        <v>388</v>
      </c>
      <c r="AI23" s="475">
        <v>4134</v>
      </c>
      <c r="AJ23" s="475">
        <v>0</v>
      </c>
      <c r="AK23" s="475">
        <v>0</v>
      </c>
      <c r="AL23" s="475" t="s">
        <v>714</v>
      </c>
      <c r="AM23" s="475">
        <v>239</v>
      </c>
      <c r="AN23" s="475">
        <v>233</v>
      </c>
      <c r="AO23" s="475">
        <v>-4739</v>
      </c>
      <c r="AP23" s="475">
        <v>45631</v>
      </c>
      <c r="AQ23" s="475">
        <v>286491</v>
      </c>
      <c r="AR23" s="475">
        <v>3146</v>
      </c>
      <c r="AS23" s="475">
        <v>96959</v>
      </c>
      <c r="AT23" s="475">
        <v>212716</v>
      </c>
      <c r="AU23" s="475">
        <v>3919267</v>
      </c>
      <c r="AV23" s="475">
        <v>1334</v>
      </c>
      <c r="AW23" s="475">
        <v>2541</v>
      </c>
      <c r="AX23" s="475">
        <v>6447</v>
      </c>
      <c r="AY23" s="475">
        <v>5627</v>
      </c>
      <c r="AZ23" s="475">
        <v>778</v>
      </c>
      <c r="BA23" s="475">
        <v>1526</v>
      </c>
      <c r="BB23" s="475">
        <v>0</v>
      </c>
      <c r="BC23" s="475">
        <v>0</v>
      </c>
      <c r="BD23" s="475">
        <v>40171</v>
      </c>
      <c r="BE23" s="475">
        <v>38331</v>
      </c>
      <c r="BF23" s="475">
        <v>3191</v>
      </c>
      <c r="BG23" s="475">
        <v>13993</v>
      </c>
      <c r="BH23" s="475">
        <v>111</v>
      </c>
      <c r="BI23" s="475">
        <v>196</v>
      </c>
      <c r="BJ23" s="475">
        <v>399</v>
      </c>
      <c r="BK23" s="475">
        <v>408</v>
      </c>
      <c r="BL23" s="475">
        <v>112</v>
      </c>
      <c r="BM23" s="475">
        <v>427</v>
      </c>
      <c r="BN23" s="475">
        <v>0</v>
      </c>
      <c r="BO23" s="475">
        <v>0</v>
      </c>
      <c r="BP23" s="475">
        <v>48807</v>
      </c>
      <c r="BQ23" s="475">
        <v>64129</v>
      </c>
      <c r="BR23" s="475">
        <v>39173</v>
      </c>
      <c r="BS23" s="475">
        <v>219944</v>
      </c>
      <c r="BT23" s="475">
        <v>7448</v>
      </c>
      <c r="BU23" s="475">
        <v>87475</v>
      </c>
      <c r="BV23" s="475">
        <v>5845</v>
      </c>
      <c r="BW23" s="475">
        <v>104063</v>
      </c>
      <c r="BX23" s="475">
        <v>7891</v>
      </c>
      <c r="BY23" s="475">
        <v>8579</v>
      </c>
      <c r="BZ23" s="475">
        <v>6212</v>
      </c>
      <c r="CA23" s="475">
        <v>32921</v>
      </c>
      <c r="CB23" s="475">
        <v>4123</v>
      </c>
      <c r="CC23" s="475">
        <v>2255</v>
      </c>
      <c r="CD23" s="475">
        <v>778</v>
      </c>
      <c r="CE23" s="475">
        <v>602</v>
      </c>
      <c r="CF23" s="475">
        <v>8336</v>
      </c>
      <c r="CG23" s="475">
        <v>44356</v>
      </c>
      <c r="CH23" s="475">
        <v>5126</v>
      </c>
      <c r="CI23" s="475">
        <v>66066</v>
      </c>
      <c r="CJ23" s="475">
        <v>434</v>
      </c>
      <c r="CK23" s="475">
        <v>1325</v>
      </c>
      <c r="CL23" s="475">
        <v>5282</v>
      </c>
      <c r="CM23" s="475">
        <v>67391</v>
      </c>
      <c r="CN23" s="475">
        <v>5864</v>
      </c>
      <c r="CO23" s="475">
        <v>20238</v>
      </c>
      <c r="CP23" s="475">
        <v>3445</v>
      </c>
      <c r="CQ23" s="475">
        <v>2934</v>
      </c>
      <c r="CR23" s="475">
        <v>445</v>
      </c>
      <c r="CS23" s="475">
        <v>79</v>
      </c>
      <c r="CT23" s="475">
        <v>6309</v>
      </c>
      <c r="CU23" s="475">
        <v>23251</v>
      </c>
      <c r="CV23" s="475">
        <v>0</v>
      </c>
      <c r="CW23" s="475">
        <v>0</v>
      </c>
      <c r="CX23" s="475">
        <v>7252</v>
      </c>
      <c r="CY23" s="475">
        <v>21018</v>
      </c>
      <c r="CZ23" s="475">
        <v>8447</v>
      </c>
      <c r="DA23" s="475">
        <v>241775</v>
      </c>
      <c r="DB23" s="475">
        <v>111</v>
      </c>
      <c r="DC23" s="475">
        <v>95</v>
      </c>
      <c r="DD23" s="475">
        <v>19571</v>
      </c>
      <c r="DE23" s="475">
        <v>373855</v>
      </c>
      <c r="DF23" s="475">
        <v>193356</v>
      </c>
      <c r="DG23" s="475">
        <v>1142637</v>
      </c>
      <c r="DH23" s="475">
        <v>225675</v>
      </c>
      <c r="DI23" s="475">
        <v>27532</v>
      </c>
      <c r="DJ23" s="475">
        <v>111370</v>
      </c>
      <c r="DK23" s="475">
        <v>42098</v>
      </c>
      <c r="DL23" s="475">
        <v>37722</v>
      </c>
      <c r="DM23" s="475">
        <v>0</v>
      </c>
      <c r="DN23" s="475">
        <v>196152</v>
      </c>
      <c r="DO23" s="475">
        <v>74230</v>
      </c>
      <c r="DP23" s="475">
        <v>667</v>
      </c>
      <c r="DQ23" s="475">
        <v>19</v>
      </c>
      <c r="DR23" s="475">
        <v>42581</v>
      </c>
      <c r="DS23" s="475">
        <v>2130</v>
      </c>
      <c r="DT23" s="475">
        <v>41692</v>
      </c>
      <c r="DU23" s="475">
        <v>2085</v>
      </c>
      <c r="DV23" s="475">
        <v>0</v>
      </c>
      <c r="DW23" s="475">
        <v>0</v>
      </c>
      <c r="DX23" s="475" t="s">
        <v>714</v>
      </c>
      <c r="DY23" s="475">
        <v>51</v>
      </c>
      <c r="DZ23" s="475">
        <v>0</v>
      </c>
      <c r="EA23" s="475">
        <v>0</v>
      </c>
      <c r="EB23" s="475">
        <v>2945</v>
      </c>
      <c r="EC23" s="475">
        <v>178</v>
      </c>
      <c r="ED23" s="475">
        <v>153718</v>
      </c>
      <c r="EE23" s="475">
        <v>33496</v>
      </c>
      <c r="EF23" s="475">
        <v>943</v>
      </c>
      <c r="EG23" s="475">
        <v>896</v>
      </c>
      <c r="EH23" s="475">
        <v>0</v>
      </c>
      <c r="EI23" s="475">
        <v>0</v>
      </c>
      <c r="EJ23" s="475">
        <v>0</v>
      </c>
      <c r="EK23" s="475">
        <v>0</v>
      </c>
      <c r="EL23" s="475">
        <v>178739</v>
      </c>
      <c r="EM23" s="475">
        <v>71182</v>
      </c>
      <c r="EN23" s="475">
        <v>457</v>
      </c>
      <c r="EO23" s="475">
        <v>407</v>
      </c>
      <c r="EP23" s="476">
        <v>0</v>
      </c>
      <c r="EQ23" s="476">
        <v>0</v>
      </c>
      <c r="ER23" s="476">
        <v>0</v>
      </c>
      <c r="ES23" s="476">
        <v>0</v>
      </c>
      <c r="ET23" s="476">
        <v>0</v>
      </c>
      <c r="EU23" s="476">
        <v>0</v>
      </c>
    </row>
    <row r="24" spans="1:151" ht="15.5">
      <c r="A24" s="474" t="s">
        <v>734</v>
      </c>
      <c r="B24" s="475">
        <v>227471</v>
      </c>
      <c r="C24" s="475">
        <v>110479</v>
      </c>
      <c r="D24" s="475">
        <v>4313154</v>
      </c>
      <c r="E24" s="475">
        <v>-107688</v>
      </c>
      <c r="F24" s="475">
        <v>4205466</v>
      </c>
      <c r="G24" s="475">
        <v>1596948</v>
      </c>
      <c r="H24" s="475">
        <v>2686851</v>
      </c>
      <c r="I24" s="475">
        <v>7789</v>
      </c>
      <c r="J24" s="475">
        <v>177235</v>
      </c>
      <c r="K24" s="475">
        <v>3180724</v>
      </c>
      <c r="L24" s="475">
        <v>33410</v>
      </c>
      <c r="M24" s="475">
        <v>28279</v>
      </c>
      <c r="N24" s="475">
        <v>14737</v>
      </c>
      <c r="O24" s="475">
        <v>66828</v>
      </c>
      <c r="P24" s="475">
        <v>24580</v>
      </c>
      <c r="Q24" s="475">
        <v>302129</v>
      </c>
      <c r="R24" s="475">
        <v>42725</v>
      </c>
      <c r="S24" s="475">
        <v>608451</v>
      </c>
      <c r="T24" s="475">
        <v>7670</v>
      </c>
      <c r="U24" s="475">
        <v>-84275</v>
      </c>
      <c r="V24" s="475">
        <v>7059</v>
      </c>
      <c r="W24" s="475">
        <v>28761</v>
      </c>
      <c r="X24" s="475">
        <v>6126</v>
      </c>
      <c r="Y24" s="475">
        <v>-13742</v>
      </c>
      <c r="Z24" s="475">
        <v>5126</v>
      </c>
      <c r="AA24" s="475">
        <v>51611</v>
      </c>
      <c r="AB24" s="475">
        <v>1624</v>
      </c>
      <c r="AC24" s="475">
        <v>-10852</v>
      </c>
      <c r="AD24" s="475">
        <v>3673</v>
      </c>
      <c r="AE24" s="475">
        <v>44463</v>
      </c>
      <c r="AF24" s="475">
        <v>1836</v>
      </c>
      <c r="AG24" s="475">
        <v>28646</v>
      </c>
      <c r="AH24" s="475">
        <v>333</v>
      </c>
      <c r="AI24" s="475">
        <v>1451</v>
      </c>
      <c r="AJ24" s="475">
        <v>0</v>
      </c>
      <c r="AK24" s="475">
        <v>0</v>
      </c>
      <c r="AL24" s="475">
        <v>111</v>
      </c>
      <c r="AM24" s="475">
        <v>1030</v>
      </c>
      <c r="AN24" s="475">
        <v>333</v>
      </c>
      <c r="AO24" s="475">
        <v>-3098</v>
      </c>
      <c r="AP24" s="475">
        <v>48459</v>
      </c>
      <c r="AQ24" s="475">
        <v>297602</v>
      </c>
      <c r="AR24" s="475">
        <v>2720</v>
      </c>
      <c r="AS24" s="475">
        <v>72425</v>
      </c>
      <c r="AT24" s="475">
        <v>227349</v>
      </c>
      <c r="AU24" s="475">
        <v>4398293</v>
      </c>
      <c r="AV24" s="475">
        <v>1668</v>
      </c>
      <c r="AW24" s="475">
        <v>4902</v>
      </c>
      <c r="AX24" s="475">
        <v>7613</v>
      </c>
      <c r="AY24" s="475">
        <v>6238</v>
      </c>
      <c r="AZ24" s="475">
        <v>1445</v>
      </c>
      <c r="BA24" s="475">
        <v>3639</v>
      </c>
      <c r="BB24" s="475">
        <v>0</v>
      </c>
      <c r="BC24" s="475">
        <v>0</v>
      </c>
      <c r="BD24" s="475">
        <v>43504</v>
      </c>
      <c r="BE24" s="475">
        <v>44741</v>
      </c>
      <c r="BF24" s="475">
        <v>3224</v>
      </c>
      <c r="BG24" s="475">
        <v>11911</v>
      </c>
      <c r="BH24" s="475">
        <v>0</v>
      </c>
      <c r="BI24" s="475">
        <v>0</v>
      </c>
      <c r="BJ24" s="475">
        <v>222</v>
      </c>
      <c r="BK24" s="475">
        <v>253</v>
      </c>
      <c r="BL24" s="475">
        <v>333</v>
      </c>
      <c r="BM24" s="475">
        <v>5843</v>
      </c>
      <c r="BN24" s="475">
        <v>0</v>
      </c>
      <c r="BO24" s="475">
        <v>0</v>
      </c>
      <c r="BP24" s="475">
        <v>52896</v>
      </c>
      <c r="BQ24" s="475">
        <v>84005</v>
      </c>
      <c r="BR24" s="475">
        <v>43805</v>
      </c>
      <c r="BS24" s="475">
        <v>201618</v>
      </c>
      <c r="BT24" s="475">
        <v>8954</v>
      </c>
      <c r="BU24" s="475">
        <v>93930</v>
      </c>
      <c r="BV24" s="475">
        <v>5080</v>
      </c>
      <c r="BW24" s="475">
        <v>82015</v>
      </c>
      <c r="BX24" s="475">
        <v>8692</v>
      </c>
      <c r="BY24" s="475">
        <v>6589</v>
      </c>
      <c r="BZ24" s="475">
        <v>7450</v>
      </c>
      <c r="CA24" s="475">
        <v>34094</v>
      </c>
      <c r="CB24" s="475">
        <v>4291</v>
      </c>
      <c r="CC24" s="475">
        <v>2831</v>
      </c>
      <c r="CD24" s="475">
        <v>955</v>
      </c>
      <c r="CE24" s="475">
        <v>1982</v>
      </c>
      <c r="CF24" s="475">
        <v>9149</v>
      </c>
      <c r="CG24" s="475">
        <v>45496</v>
      </c>
      <c r="CH24" s="475">
        <v>6326</v>
      </c>
      <c r="CI24" s="475">
        <v>75270</v>
      </c>
      <c r="CJ24" s="475">
        <v>1112</v>
      </c>
      <c r="CK24" s="475">
        <v>996</v>
      </c>
      <c r="CL24" s="475">
        <v>6326</v>
      </c>
      <c r="CM24" s="475">
        <v>76266</v>
      </c>
      <c r="CN24" s="475">
        <v>4565</v>
      </c>
      <c r="CO24" s="475">
        <v>8909</v>
      </c>
      <c r="CP24" s="475">
        <v>3366</v>
      </c>
      <c r="CQ24" s="475">
        <v>2238</v>
      </c>
      <c r="CR24" s="475">
        <v>111</v>
      </c>
      <c r="CS24" s="475">
        <v>14</v>
      </c>
      <c r="CT24" s="475">
        <v>5231</v>
      </c>
      <c r="CU24" s="475">
        <v>11162</v>
      </c>
      <c r="CV24" s="475">
        <v>0</v>
      </c>
      <c r="CW24" s="475">
        <v>0</v>
      </c>
      <c r="CX24" s="475">
        <v>7702</v>
      </c>
      <c r="CY24" s="475">
        <v>22228</v>
      </c>
      <c r="CZ24" s="475">
        <v>9149</v>
      </c>
      <c r="DA24" s="475">
        <v>218360</v>
      </c>
      <c r="DB24" s="475">
        <v>111</v>
      </c>
      <c r="DC24" s="475">
        <v>-56</v>
      </c>
      <c r="DD24" s="475">
        <v>21985</v>
      </c>
      <c r="DE24" s="475">
        <v>372967</v>
      </c>
      <c r="DF24" s="475">
        <v>205486</v>
      </c>
      <c r="DG24" s="475">
        <v>1223981</v>
      </c>
      <c r="DH24" s="475">
        <v>243599</v>
      </c>
      <c r="DI24" s="475">
        <v>29719</v>
      </c>
      <c r="DJ24" s="475">
        <v>120976</v>
      </c>
      <c r="DK24" s="475">
        <v>45729</v>
      </c>
      <c r="DL24" s="475">
        <v>43531</v>
      </c>
      <c r="DM24" s="475">
        <v>95</v>
      </c>
      <c r="DN24" s="475">
        <v>212600</v>
      </c>
      <c r="DO24" s="475">
        <v>80754</v>
      </c>
      <c r="DP24" s="475">
        <v>610</v>
      </c>
      <c r="DQ24" s="475">
        <v>41</v>
      </c>
      <c r="DR24" s="475">
        <v>46236</v>
      </c>
      <c r="DS24" s="475">
        <v>2771</v>
      </c>
      <c r="DT24" s="475">
        <v>45736</v>
      </c>
      <c r="DU24" s="475">
        <v>2730</v>
      </c>
      <c r="DV24" s="475">
        <v>0</v>
      </c>
      <c r="DW24" s="475">
        <v>0</v>
      </c>
      <c r="DX24" s="475">
        <v>334</v>
      </c>
      <c r="DY24" s="475">
        <v>169</v>
      </c>
      <c r="DZ24" s="475">
        <v>0</v>
      </c>
      <c r="EA24" s="475">
        <v>0</v>
      </c>
      <c r="EB24" s="475">
        <v>2500</v>
      </c>
      <c r="EC24" s="475">
        <v>303</v>
      </c>
      <c r="ED24" s="475">
        <v>159616</v>
      </c>
      <c r="EE24" s="475">
        <v>39203</v>
      </c>
      <c r="EF24" s="475">
        <v>2445</v>
      </c>
      <c r="EG24" s="475">
        <v>2966</v>
      </c>
      <c r="EH24" s="475">
        <v>0</v>
      </c>
      <c r="EI24" s="475">
        <v>0</v>
      </c>
      <c r="EJ24" s="475">
        <v>0</v>
      </c>
      <c r="EK24" s="475">
        <v>0</v>
      </c>
      <c r="EL24" s="475">
        <v>190195</v>
      </c>
      <c r="EM24" s="475">
        <v>77771</v>
      </c>
      <c r="EN24" s="475">
        <v>1501</v>
      </c>
      <c r="EO24" s="475">
        <v>1815</v>
      </c>
      <c r="EP24" s="476">
        <v>0</v>
      </c>
      <c r="EQ24" s="476">
        <v>0</v>
      </c>
      <c r="ER24" s="476">
        <v>0</v>
      </c>
      <c r="ES24" s="476">
        <v>0</v>
      </c>
      <c r="ET24" s="476">
        <v>0</v>
      </c>
      <c r="EU24" s="476">
        <v>0</v>
      </c>
    </row>
    <row r="25" spans="1:151" ht="15.5">
      <c r="A25" s="474" t="s">
        <v>735</v>
      </c>
      <c r="B25" s="475">
        <v>210911</v>
      </c>
      <c r="C25" s="475">
        <v>103157</v>
      </c>
      <c r="D25" s="475">
        <v>4238745</v>
      </c>
      <c r="E25" s="475">
        <v>-128287</v>
      </c>
      <c r="F25" s="475">
        <v>4110458</v>
      </c>
      <c r="G25" s="475">
        <v>1533896</v>
      </c>
      <c r="H25" s="475">
        <v>2661697</v>
      </c>
      <c r="I25" s="475">
        <v>10079</v>
      </c>
      <c r="J25" s="475">
        <v>166963</v>
      </c>
      <c r="K25" s="475">
        <v>3191376</v>
      </c>
      <c r="L25" s="475">
        <v>35399</v>
      </c>
      <c r="M25" s="475">
        <v>37452</v>
      </c>
      <c r="N25" s="475">
        <v>15843</v>
      </c>
      <c r="O25" s="475">
        <v>53148</v>
      </c>
      <c r="P25" s="475">
        <v>23514</v>
      </c>
      <c r="Q25" s="475">
        <v>294798</v>
      </c>
      <c r="R25" s="475">
        <v>34639</v>
      </c>
      <c r="S25" s="475">
        <v>494823</v>
      </c>
      <c r="T25" s="475">
        <v>6113</v>
      </c>
      <c r="U25" s="475">
        <v>-44240</v>
      </c>
      <c r="V25" s="475">
        <v>8352</v>
      </c>
      <c r="W25" s="475">
        <v>27303</v>
      </c>
      <c r="X25" s="475">
        <v>6589</v>
      </c>
      <c r="Y25" s="475">
        <v>-15834</v>
      </c>
      <c r="Z25" s="475">
        <v>5346</v>
      </c>
      <c r="AA25" s="475">
        <v>57080</v>
      </c>
      <c r="AB25" s="475">
        <v>2044</v>
      </c>
      <c r="AC25" s="475">
        <v>-24209</v>
      </c>
      <c r="AD25" s="475">
        <v>2759</v>
      </c>
      <c r="AE25" s="475">
        <v>41325</v>
      </c>
      <c r="AF25" s="475">
        <v>1980</v>
      </c>
      <c r="AG25" s="475">
        <v>28098</v>
      </c>
      <c r="AH25" s="475">
        <v>277</v>
      </c>
      <c r="AI25" s="475">
        <v>1374</v>
      </c>
      <c r="AJ25" s="475">
        <v>0</v>
      </c>
      <c r="AK25" s="475">
        <v>0</v>
      </c>
      <c r="AL25" s="475">
        <v>222</v>
      </c>
      <c r="AM25" s="475">
        <v>4733</v>
      </c>
      <c r="AN25" s="475">
        <v>333</v>
      </c>
      <c r="AO25" s="475">
        <v>-2736</v>
      </c>
      <c r="AP25" s="475">
        <v>46672</v>
      </c>
      <c r="AQ25" s="475">
        <v>315692</v>
      </c>
      <c r="AR25" s="475">
        <v>3489</v>
      </c>
      <c r="AS25" s="475">
        <v>94157</v>
      </c>
      <c r="AT25" s="475">
        <v>210799</v>
      </c>
      <c r="AU25" s="475">
        <v>4309833</v>
      </c>
      <c r="AV25" s="475">
        <v>1667</v>
      </c>
      <c r="AW25" s="475">
        <v>4541</v>
      </c>
      <c r="AX25" s="475">
        <v>7946</v>
      </c>
      <c r="AY25" s="475">
        <v>6850</v>
      </c>
      <c r="AZ25" s="475">
        <v>1556</v>
      </c>
      <c r="BA25" s="475">
        <v>3158</v>
      </c>
      <c r="BB25" s="475">
        <v>111</v>
      </c>
      <c r="BC25" s="475">
        <v>333</v>
      </c>
      <c r="BD25" s="475">
        <v>33850</v>
      </c>
      <c r="BE25" s="475">
        <v>36055</v>
      </c>
      <c r="BF25" s="475">
        <v>3894</v>
      </c>
      <c r="BG25" s="475">
        <v>10334</v>
      </c>
      <c r="BH25" s="475">
        <v>0</v>
      </c>
      <c r="BI25" s="475">
        <v>0</v>
      </c>
      <c r="BJ25" s="475">
        <v>445</v>
      </c>
      <c r="BK25" s="475">
        <v>29</v>
      </c>
      <c r="BL25" s="475">
        <v>222</v>
      </c>
      <c r="BM25" s="475">
        <v>3601</v>
      </c>
      <c r="BN25" s="475">
        <v>0</v>
      </c>
      <c r="BO25" s="475">
        <v>0</v>
      </c>
      <c r="BP25" s="475">
        <v>44687</v>
      </c>
      <c r="BQ25" s="475">
        <v>72560</v>
      </c>
      <c r="BR25" s="475">
        <v>42159</v>
      </c>
      <c r="BS25" s="475">
        <v>211135</v>
      </c>
      <c r="BT25" s="475">
        <v>10857</v>
      </c>
      <c r="BU25" s="475">
        <v>82848</v>
      </c>
      <c r="BV25" s="475">
        <v>5224</v>
      </c>
      <c r="BW25" s="475">
        <v>78525</v>
      </c>
      <c r="BX25" s="475">
        <v>7871</v>
      </c>
      <c r="BY25" s="475">
        <v>18178</v>
      </c>
      <c r="BZ25" s="475">
        <v>6537</v>
      </c>
      <c r="CA25" s="475">
        <v>37978</v>
      </c>
      <c r="CB25" s="475">
        <v>4725</v>
      </c>
      <c r="CC25" s="475">
        <v>2727</v>
      </c>
      <c r="CD25" s="475">
        <v>557</v>
      </c>
      <c r="CE25" s="475">
        <v>579</v>
      </c>
      <c r="CF25" s="475">
        <v>8316</v>
      </c>
      <c r="CG25" s="475">
        <v>59462</v>
      </c>
      <c r="CH25" s="475">
        <v>5704</v>
      </c>
      <c r="CI25" s="475">
        <v>72481</v>
      </c>
      <c r="CJ25" s="475">
        <v>1199</v>
      </c>
      <c r="CK25" s="475">
        <v>167</v>
      </c>
      <c r="CL25" s="475">
        <v>5704</v>
      </c>
      <c r="CM25" s="475">
        <v>72648</v>
      </c>
      <c r="CN25" s="475">
        <v>5090</v>
      </c>
      <c r="CO25" s="475">
        <v>10540</v>
      </c>
      <c r="CP25" s="475">
        <v>3867</v>
      </c>
      <c r="CQ25" s="475">
        <v>2561</v>
      </c>
      <c r="CR25" s="475">
        <v>222</v>
      </c>
      <c r="CS25" s="475">
        <v>683</v>
      </c>
      <c r="CT25" s="475">
        <v>5757</v>
      </c>
      <c r="CU25" s="475">
        <v>13784</v>
      </c>
      <c r="CV25" s="475">
        <v>0</v>
      </c>
      <c r="CW25" s="475">
        <v>0</v>
      </c>
      <c r="CX25" s="475">
        <v>6608</v>
      </c>
      <c r="CY25" s="475">
        <v>26415</v>
      </c>
      <c r="CZ25" s="475">
        <v>8427</v>
      </c>
      <c r="DA25" s="475">
        <v>219529</v>
      </c>
      <c r="DB25" s="475">
        <v>0</v>
      </c>
      <c r="DC25" s="475">
        <v>0</v>
      </c>
      <c r="DD25" s="475">
        <v>20388</v>
      </c>
      <c r="DE25" s="475">
        <v>372503</v>
      </c>
      <c r="DF25" s="475">
        <v>190411</v>
      </c>
      <c r="DG25" s="475">
        <v>1161393</v>
      </c>
      <c r="DH25" s="475">
        <v>231594</v>
      </c>
      <c r="DI25" s="475">
        <v>28254</v>
      </c>
      <c r="DJ25" s="475">
        <v>111916</v>
      </c>
      <c r="DK25" s="475">
        <v>42304</v>
      </c>
      <c r="DL25" s="475">
        <v>41742</v>
      </c>
      <c r="DM25" s="475">
        <v>54</v>
      </c>
      <c r="DN25" s="475">
        <v>197792</v>
      </c>
      <c r="DO25" s="475">
        <v>75650</v>
      </c>
      <c r="DP25" s="475">
        <v>667</v>
      </c>
      <c r="DQ25" s="475">
        <v>50</v>
      </c>
      <c r="DR25" s="475">
        <v>42025</v>
      </c>
      <c r="DS25" s="475">
        <v>2543</v>
      </c>
      <c r="DT25" s="475">
        <v>41469</v>
      </c>
      <c r="DU25" s="475">
        <v>2491</v>
      </c>
      <c r="DV25" s="475">
        <v>0</v>
      </c>
      <c r="DW25" s="475">
        <v>0</v>
      </c>
      <c r="DX25" s="475">
        <v>111</v>
      </c>
      <c r="DY25" s="475">
        <v>954</v>
      </c>
      <c r="DZ25" s="475">
        <v>0</v>
      </c>
      <c r="EA25" s="475">
        <v>0</v>
      </c>
      <c r="EB25" s="475">
        <v>2445</v>
      </c>
      <c r="EC25" s="475">
        <v>249</v>
      </c>
      <c r="ED25" s="475">
        <v>156723</v>
      </c>
      <c r="EE25" s="475">
        <v>40829</v>
      </c>
      <c r="EF25" s="475">
        <v>2201</v>
      </c>
      <c r="EG25" s="475">
        <v>6479</v>
      </c>
      <c r="EH25" s="475">
        <v>0</v>
      </c>
      <c r="EI25" s="475">
        <v>0</v>
      </c>
      <c r="EJ25" s="475">
        <v>0</v>
      </c>
      <c r="EK25" s="475">
        <v>0</v>
      </c>
      <c r="EL25" s="475">
        <v>177595</v>
      </c>
      <c r="EM25" s="475">
        <v>78382</v>
      </c>
      <c r="EN25" s="475">
        <v>1477</v>
      </c>
      <c r="EO25" s="475">
        <v>2488</v>
      </c>
      <c r="EP25" s="476">
        <v>0</v>
      </c>
      <c r="EQ25" s="476">
        <v>0</v>
      </c>
      <c r="ER25" s="476">
        <v>0</v>
      </c>
      <c r="ES25" s="476">
        <v>0</v>
      </c>
      <c r="ET25" s="476">
        <v>0</v>
      </c>
      <c r="EU25" s="476">
        <v>0</v>
      </c>
    </row>
    <row r="26" spans="1:151" ht="15.5">
      <c r="A26" s="474" t="s">
        <v>736</v>
      </c>
      <c r="B26" s="475">
        <v>221131</v>
      </c>
      <c r="C26" s="475">
        <v>112204</v>
      </c>
      <c r="D26" s="475">
        <v>4661795</v>
      </c>
      <c r="E26" s="475">
        <v>-128973</v>
      </c>
      <c r="F26" s="475">
        <v>4532822</v>
      </c>
      <c r="G26" s="475">
        <v>1562574</v>
      </c>
      <c r="H26" s="475">
        <v>3032035</v>
      </c>
      <c r="I26" s="475">
        <v>10503</v>
      </c>
      <c r="J26" s="475">
        <v>181415</v>
      </c>
      <c r="K26" s="475">
        <v>3656732</v>
      </c>
      <c r="L26" s="475">
        <v>33663</v>
      </c>
      <c r="M26" s="475">
        <v>32638</v>
      </c>
      <c r="N26" s="475">
        <v>14757</v>
      </c>
      <c r="O26" s="475">
        <v>55028</v>
      </c>
      <c r="P26" s="475">
        <v>24079</v>
      </c>
      <c r="Q26" s="475">
        <v>284266</v>
      </c>
      <c r="R26" s="475">
        <v>32980</v>
      </c>
      <c r="S26" s="475">
        <v>473071</v>
      </c>
      <c r="T26" s="475">
        <v>9014</v>
      </c>
      <c r="U26" s="475">
        <v>-80580</v>
      </c>
      <c r="V26" s="475">
        <v>8449</v>
      </c>
      <c r="W26" s="475">
        <v>47950</v>
      </c>
      <c r="X26" s="475">
        <v>4475</v>
      </c>
      <c r="Y26" s="475">
        <v>-9795</v>
      </c>
      <c r="Z26" s="475">
        <v>5518</v>
      </c>
      <c r="AA26" s="475">
        <v>50162</v>
      </c>
      <c r="AB26" s="475">
        <v>3292</v>
      </c>
      <c r="AC26" s="475">
        <v>-45139</v>
      </c>
      <c r="AD26" s="475">
        <v>1630</v>
      </c>
      <c r="AE26" s="475">
        <v>44125</v>
      </c>
      <c r="AF26" s="475">
        <v>1186</v>
      </c>
      <c r="AG26" s="475">
        <v>49054</v>
      </c>
      <c r="AH26" s="475">
        <v>446</v>
      </c>
      <c r="AI26" s="475">
        <v>2382</v>
      </c>
      <c r="AJ26" s="475">
        <v>112</v>
      </c>
      <c r="AK26" s="475">
        <v>1213</v>
      </c>
      <c r="AL26" s="475" t="s">
        <v>714</v>
      </c>
      <c r="AM26" s="475">
        <v>56</v>
      </c>
      <c r="AN26" s="475" t="s">
        <v>714</v>
      </c>
      <c r="AO26" s="475">
        <v>-1315</v>
      </c>
      <c r="AP26" s="475">
        <v>48596</v>
      </c>
      <c r="AQ26" s="475">
        <v>322448</v>
      </c>
      <c r="AR26" s="475">
        <v>3401</v>
      </c>
      <c r="AS26" s="475">
        <v>50153</v>
      </c>
      <c r="AT26" s="475">
        <v>220908</v>
      </c>
      <c r="AU26" s="475">
        <v>4731610</v>
      </c>
      <c r="AV26" s="475">
        <v>2110</v>
      </c>
      <c r="AW26" s="475">
        <v>7429</v>
      </c>
      <c r="AX26" s="475">
        <v>6279</v>
      </c>
      <c r="AY26" s="475">
        <v>5417</v>
      </c>
      <c r="AZ26" s="475">
        <v>1778</v>
      </c>
      <c r="BA26" s="475">
        <v>2608</v>
      </c>
      <c r="BB26" s="475">
        <v>0</v>
      </c>
      <c r="BC26" s="475">
        <v>0</v>
      </c>
      <c r="BD26" s="475">
        <v>31869</v>
      </c>
      <c r="BE26" s="475">
        <v>35043</v>
      </c>
      <c r="BF26" s="475">
        <v>3847</v>
      </c>
      <c r="BG26" s="475">
        <v>11743</v>
      </c>
      <c r="BH26" s="475">
        <v>112</v>
      </c>
      <c r="BI26" s="475">
        <v>345</v>
      </c>
      <c r="BJ26" s="475">
        <v>778</v>
      </c>
      <c r="BK26" s="475">
        <v>417</v>
      </c>
      <c r="BL26" s="475">
        <v>111</v>
      </c>
      <c r="BM26" s="475">
        <v>400</v>
      </c>
      <c r="BN26" s="475">
        <v>0</v>
      </c>
      <c r="BO26" s="475">
        <v>0</v>
      </c>
      <c r="BP26" s="475">
        <v>42927</v>
      </c>
      <c r="BQ26" s="475">
        <v>67461</v>
      </c>
      <c r="BR26" s="475">
        <v>44533</v>
      </c>
      <c r="BS26" s="475">
        <v>183428</v>
      </c>
      <c r="BT26" s="475">
        <v>9126</v>
      </c>
      <c r="BU26" s="475">
        <v>54455</v>
      </c>
      <c r="BV26" s="475">
        <v>4693</v>
      </c>
      <c r="BW26" s="475">
        <v>73941</v>
      </c>
      <c r="BX26" s="475">
        <v>7085</v>
      </c>
      <c r="BY26" s="475">
        <v>8733</v>
      </c>
      <c r="BZ26" s="475">
        <v>5041</v>
      </c>
      <c r="CA26" s="475">
        <v>26327</v>
      </c>
      <c r="CB26" s="475">
        <v>2847</v>
      </c>
      <c r="CC26" s="475">
        <v>1161</v>
      </c>
      <c r="CD26" s="475">
        <v>911</v>
      </c>
      <c r="CE26" s="475">
        <v>304</v>
      </c>
      <c r="CF26" s="475">
        <v>7097</v>
      </c>
      <c r="CG26" s="475">
        <v>36526</v>
      </c>
      <c r="CH26" s="475">
        <v>4372</v>
      </c>
      <c r="CI26" s="475">
        <v>56335</v>
      </c>
      <c r="CJ26" s="475">
        <v>782</v>
      </c>
      <c r="CK26" s="475">
        <v>1860</v>
      </c>
      <c r="CL26" s="475">
        <v>4595</v>
      </c>
      <c r="CM26" s="475">
        <v>58196</v>
      </c>
      <c r="CN26" s="475">
        <v>3778</v>
      </c>
      <c r="CO26" s="475">
        <v>8031</v>
      </c>
      <c r="CP26" s="475">
        <v>2501</v>
      </c>
      <c r="CQ26" s="475">
        <v>1712</v>
      </c>
      <c r="CR26" s="475">
        <v>222</v>
      </c>
      <c r="CS26" s="475">
        <v>400</v>
      </c>
      <c r="CT26" s="475">
        <v>4334</v>
      </c>
      <c r="CU26" s="475">
        <v>10142</v>
      </c>
      <c r="CV26" s="475">
        <v>0</v>
      </c>
      <c r="CW26" s="475">
        <v>0</v>
      </c>
      <c r="CX26" s="475">
        <v>7419</v>
      </c>
      <c r="CY26" s="475">
        <v>25835</v>
      </c>
      <c r="CZ26" s="475">
        <v>7097</v>
      </c>
      <c r="DA26" s="475">
        <v>182584</v>
      </c>
      <c r="DB26" s="475">
        <v>0</v>
      </c>
      <c r="DC26" s="475">
        <v>0</v>
      </c>
      <c r="DD26" s="475">
        <v>20047</v>
      </c>
      <c r="DE26" s="475">
        <v>341345</v>
      </c>
      <c r="DF26" s="475">
        <v>201084</v>
      </c>
      <c r="DG26" s="475">
        <v>1221229</v>
      </c>
      <c r="DH26" s="475">
        <v>245178</v>
      </c>
      <c r="DI26" s="475">
        <v>29912</v>
      </c>
      <c r="DJ26" s="475">
        <v>123655</v>
      </c>
      <c r="DK26" s="475">
        <v>46742</v>
      </c>
      <c r="DL26" s="475">
        <v>37134</v>
      </c>
      <c r="DM26" s="475">
        <v>27</v>
      </c>
      <c r="DN26" s="475">
        <v>210570</v>
      </c>
      <c r="DO26" s="475">
        <v>81183</v>
      </c>
      <c r="DP26" s="475">
        <v>222</v>
      </c>
      <c r="DQ26" s="475">
        <v>33</v>
      </c>
      <c r="DR26" s="475">
        <v>48683</v>
      </c>
      <c r="DS26" s="475">
        <v>2946</v>
      </c>
      <c r="DT26" s="475">
        <v>48349</v>
      </c>
      <c r="DU26" s="475">
        <v>2897</v>
      </c>
      <c r="DV26" s="475">
        <v>0</v>
      </c>
      <c r="DW26" s="475">
        <v>0</v>
      </c>
      <c r="DX26" s="475">
        <v>0</v>
      </c>
      <c r="DY26" s="475">
        <v>0</v>
      </c>
      <c r="DZ26" s="475">
        <v>0</v>
      </c>
      <c r="EA26" s="475">
        <v>0</v>
      </c>
      <c r="EB26" s="475">
        <v>3500</v>
      </c>
      <c r="EC26" s="475">
        <v>183</v>
      </c>
      <c r="ED26" s="475">
        <v>167909</v>
      </c>
      <c r="EE26" s="475">
        <v>47387</v>
      </c>
      <c r="EF26" s="475">
        <v>1557</v>
      </c>
      <c r="EG26" s="475">
        <v>1232</v>
      </c>
      <c r="EH26" s="475">
        <v>0</v>
      </c>
      <c r="EI26" s="475">
        <v>0</v>
      </c>
      <c r="EJ26" s="475">
        <v>0</v>
      </c>
      <c r="EK26" s="475">
        <v>0</v>
      </c>
      <c r="EL26" s="475">
        <v>189439</v>
      </c>
      <c r="EM26" s="475">
        <v>80913</v>
      </c>
      <c r="EN26" s="475">
        <v>893</v>
      </c>
      <c r="EO26" s="475">
        <v>803</v>
      </c>
      <c r="EP26" s="476">
        <v>0</v>
      </c>
      <c r="EQ26" s="476">
        <v>0</v>
      </c>
      <c r="ER26" s="476">
        <v>0</v>
      </c>
      <c r="ES26" s="476">
        <v>0</v>
      </c>
      <c r="ET26" s="476">
        <v>0</v>
      </c>
      <c r="EU26" s="476">
        <v>0</v>
      </c>
    </row>
    <row r="27" spans="1:151" ht="15.5">
      <c r="A27" s="474" t="s">
        <v>737</v>
      </c>
      <c r="B27" s="475">
        <v>213934</v>
      </c>
      <c r="C27" s="475">
        <v>110263</v>
      </c>
      <c r="D27" s="475">
        <v>4749561</v>
      </c>
      <c r="E27" s="475">
        <v>-151427</v>
      </c>
      <c r="F27" s="475">
        <v>4598134</v>
      </c>
      <c r="G27" s="475">
        <v>1564669</v>
      </c>
      <c r="H27" s="475">
        <v>3094435</v>
      </c>
      <c r="I27" s="475">
        <v>12610</v>
      </c>
      <c r="J27" s="475">
        <v>171289</v>
      </c>
      <c r="K27" s="475">
        <v>3540429</v>
      </c>
      <c r="L27" s="475">
        <v>36091</v>
      </c>
      <c r="M27" s="475">
        <v>43096</v>
      </c>
      <c r="N27" s="475">
        <v>17032</v>
      </c>
      <c r="O27" s="475">
        <v>67079</v>
      </c>
      <c r="P27" s="475">
        <v>25567</v>
      </c>
      <c r="Q27" s="475">
        <v>371396</v>
      </c>
      <c r="R27" s="475">
        <v>31911</v>
      </c>
      <c r="S27" s="475">
        <v>510555</v>
      </c>
      <c r="T27" s="475">
        <v>6443</v>
      </c>
      <c r="U27" s="475">
        <v>-53264</v>
      </c>
      <c r="V27" s="475">
        <v>8181</v>
      </c>
      <c r="W27" s="475">
        <v>38467</v>
      </c>
      <c r="X27" s="475">
        <v>6564</v>
      </c>
      <c r="Y27" s="475">
        <v>-13531</v>
      </c>
      <c r="Z27" s="475">
        <v>5358</v>
      </c>
      <c r="AA27" s="475">
        <v>53037</v>
      </c>
      <c r="AB27" s="475">
        <v>2680</v>
      </c>
      <c r="AC27" s="475">
        <v>-25131</v>
      </c>
      <c r="AD27" s="475">
        <v>2692</v>
      </c>
      <c r="AE27" s="475">
        <v>40323</v>
      </c>
      <c r="AF27" s="475">
        <v>1756</v>
      </c>
      <c r="AG27" s="475">
        <v>29138</v>
      </c>
      <c r="AH27" s="475">
        <v>166</v>
      </c>
      <c r="AI27" s="475">
        <v>1622</v>
      </c>
      <c r="AJ27" s="475">
        <v>0</v>
      </c>
      <c r="AK27" s="475">
        <v>0</v>
      </c>
      <c r="AL27" s="475">
        <v>222</v>
      </c>
      <c r="AM27" s="475">
        <v>2219</v>
      </c>
      <c r="AN27" s="475">
        <v>388</v>
      </c>
      <c r="AO27" s="475">
        <v>-2846</v>
      </c>
      <c r="AP27" s="475">
        <v>51200</v>
      </c>
      <c r="AQ27" s="475">
        <v>343481</v>
      </c>
      <c r="AR27" s="475">
        <v>3649</v>
      </c>
      <c r="AS27" s="475">
        <v>56862</v>
      </c>
      <c r="AT27" s="475">
        <v>213823</v>
      </c>
      <c r="AU27" s="475">
        <v>4830932</v>
      </c>
      <c r="AV27" s="475">
        <v>1334</v>
      </c>
      <c r="AW27" s="475">
        <v>5158</v>
      </c>
      <c r="AX27" s="475">
        <v>9902</v>
      </c>
      <c r="AY27" s="475">
        <v>9628</v>
      </c>
      <c r="AZ27" s="475">
        <v>1445</v>
      </c>
      <c r="BA27" s="475">
        <v>3406</v>
      </c>
      <c r="BB27" s="475">
        <v>111</v>
      </c>
      <c r="BC27" s="475">
        <v>389</v>
      </c>
      <c r="BD27" s="475">
        <v>32301</v>
      </c>
      <c r="BE27" s="475">
        <v>37185</v>
      </c>
      <c r="BF27" s="475">
        <v>5222</v>
      </c>
      <c r="BG27" s="475">
        <v>16672</v>
      </c>
      <c r="BH27" s="475">
        <v>111</v>
      </c>
      <c r="BI27" s="475">
        <v>723</v>
      </c>
      <c r="BJ27" s="475">
        <v>388</v>
      </c>
      <c r="BK27" s="475">
        <v>160</v>
      </c>
      <c r="BL27" s="475">
        <v>55</v>
      </c>
      <c r="BM27" s="475">
        <v>3214</v>
      </c>
      <c r="BN27" s="475">
        <v>0</v>
      </c>
      <c r="BO27" s="475">
        <v>0</v>
      </c>
      <c r="BP27" s="475">
        <v>44926</v>
      </c>
      <c r="BQ27" s="475">
        <v>83748</v>
      </c>
      <c r="BR27" s="475">
        <v>47188</v>
      </c>
      <c r="BS27" s="475">
        <v>223295</v>
      </c>
      <c r="BT27" s="475">
        <v>9709</v>
      </c>
      <c r="BU27" s="475">
        <v>71868</v>
      </c>
      <c r="BV27" s="475">
        <v>5398</v>
      </c>
      <c r="BW27" s="475">
        <v>81955</v>
      </c>
      <c r="BX27" s="475">
        <v>8238</v>
      </c>
      <c r="BY27" s="475">
        <v>7924</v>
      </c>
      <c r="BZ27" s="475">
        <v>6626</v>
      </c>
      <c r="CA27" s="475">
        <v>33573</v>
      </c>
      <c r="CB27" s="475">
        <v>4444</v>
      </c>
      <c r="CC27" s="475">
        <v>1762</v>
      </c>
      <c r="CD27" s="475">
        <v>222</v>
      </c>
      <c r="CE27" s="475">
        <v>101</v>
      </c>
      <c r="CF27" s="475">
        <v>8904</v>
      </c>
      <c r="CG27" s="475">
        <v>43360</v>
      </c>
      <c r="CH27" s="475">
        <v>6182</v>
      </c>
      <c r="CI27" s="475">
        <v>73934</v>
      </c>
      <c r="CJ27" s="475">
        <v>889</v>
      </c>
      <c r="CK27" s="475">
        <v>127</v>
      </c>
      <c r="CL27" s="475">
        <v>6182</v>
      </c>
      <c r="CM27" s="475">
        <v>74061</v>
      </c>
      <c r="CN27" s="475">
        <v>5609</v>
      </c>
      <c r="CO27" s="475">
        <v>10727</v>
      </c>
      <c r="CP27" s="475">
        <v>3331</v>
      </c>
      <c r="CQ27" s="475">
        <v>3648</v>
      </c>
      <c r="CR27" s="475">
        <v>333</v>
      </c>
      <c r="CS27" s="475">
        <v>1605</v>
      </c>
      <c r="CT27" s="475">
        <v>6054</v>
      </c>
      <c r="CU27" s="475">
        <v>15980</v>
      </c>
      <c r="CV27" s="475">
        <v>0</v>
      </c>
      <c r="CW27" s="475">
        <v>0</v>
      </c>
      <c r="CX27" s="475">
        <v>7335</v>
      </c>
      <c r="CY27" s="475">
        <v>30101</v>
      </c>
      <c r="CZ27" s="475">
        <v>9016</v>
      </c>
      <c r="DA27" s="475">
        <v>221362</v>
      </c>
      <c r="DB27" s="475">
        <v>111</v>
      </c>
      <c r="DC27" s="475">
        <v>719</v>
      </c>
      <c r="DD27" s="475">
        <v>23963</v>
      </c>
      <c r="DE27" s="475">
        <v>407501</v>
      </c>
      <c r="DF27" s="475">
        <v>189971</v>
      </c>
      <c r="DG27" s="475">
        <v>1157168</v>
      </c>
      <c r="DH27" s="475">
        <v>240584</v>
      </c>
      <c r="DI27" s="475">
        <v>29351</v>
      </c>
      <c r="DJ27" s="475">
        <v>121157</v>
      </c>
      <c r="DK27" s="475">
        <v>45797</v>
      </c>
      <c r="DL27" s="475">
        <v>42436</v>
      </c>
      <c r="DM27" s="475">
        <v>27</v>
      </c>
      <c r="DN27" s="475">
        <v>205810</v>
      </c>
      <c r="DO27" s="475">
        <v>80323</v>
      </c>
      <c r="DP27" s="475">
        <v>445</v>
      </c>
      <c r="DQ27" s="475">
        <v>25</v>
      </c>
      <c r="DR27" s="475">
        <v>51738</v>
      </c>
      <c r="DS27" s="475">
        <v>2930</v>
      </c>
      <c r="DT27" s="475">
        <v>51516</v>
      </c>
      <c r="DU27" s="475">
        <v>2904</v>
      </c>
      <c r="DV27" s="475">
        <v>0</v>
      </c>
      <c r="DW27" s="475">
        <v>0</v>
      </c>
      <c r="DX27" s="475">
        <v>333</v>
      </c>
      <c r="DY27" s="475">
        <v>201</v>
      </c>
      <c r="DZ27" s="475">
        <v>0</v>
      </c>
      <c r="EA27" s="475">
        <v>0</v>
      </c>
      <c r="EB27" s="475">
        <v>3611</v>
      </c>
      <c r="EC27" s="475">
        <v>408</v>
      </c>
      <c r="ED27" s="475">
        <v>159404</v>
      </c>
      <c r="EE27" s="475">
        <v>45248</v>
      </c>
      <c r="EF27" s="475">
        <v>2403</v>
      </c>
      <c r="EG27" s="475">
        <v>7646</v>
      </c>
      <c r="EH27" s="475">
        <v>0</v>
      </c>
      <c r="EI27" s="475">
        <v>0</v>
      </c>
      <c r="EJ27" s="475">
        <v>0</v>
      </c>
      <c r="EK27" s="475">
        <v>0</v>
      </c>
      <c r="EL27" s="475">
        <v>177806</v>
      </c>
      <c r="EM27" s="475">
        <v>73526</v>
      </c>
      <c r="EN27" s="475">
        <v>1289</v>
      </c>
      <c r="EO27" s="475">
        <v>1338</v>
      </c>
      <c r="EP27" s="476">
        <v>0</v>
      </c>
      <c r="EQ27" s="476">
        <v>0</v>
      </c>
      <c r="ER27" s="476">
        <v>0</v>
      </c>
      <c r="ES27" s="476">
        <v>0</v>
      </c>
      <c r="ET27" s="476">
        <v>0</v>
      </c>
      <c r="EU27" s="476">
        <v>0</v>
      </c>
    </row>
    <row r="28" spans="1:151" ht="15.5">
      <c r="A28" s="474" t="s">
        <v>738</v>
      </c>
      <c r="B28" s="475">
        <v>217285</v>
      </c>
      <c r="C28" s="475">
        <v>112590</v>
      </c>
      <c r="D28" s="475">
        <v>5069354</v>
      </c>
      <c r="E28" s="475">
        <v>-179761</v>
      </c>
      <c r="F28" s="475">
        <v>4889593</v>
      </c>
      <c r="G28" s="475">
        <v>1547012</v>
      </c>
      <c r="H28" s="475">
        <v>3375053</v>
      </c>
      <c r="I28" s="475">
        <v>13849</v>
      </c>
      <c r="J28" s="475">
        <v>178288</v>
      </c>
      <c r="K28" s="475">
        <v>3934301</v>
      </c>
      <c r="L28" s="475">
        <v>36600</v>
      </c>
      <c r="M28" s="475">
        <v>19948</v>
      </c>
      <c r="N28" s="475">
        <v>16751</v>
      </c>
      <c r="O28" s="475">
        <v>49371</v>
      </c>
      <c r="P28" s="475">
        <v>25774</v>
      </c>
      <c r="Q28" s="475">
        <v>359855</v>
      </c>
      <c r="R28" s="475">
        <v>29309</v>
      </c>
      <c r="S28" s="475">
        <v>459477</v>
      </c>
      <c r="T28" s="475">
        <v>8005</v>
      </c>
      <c r="U28" s="475">
        <v>-67927</v>
      </c>
      <c r="V28" s="475">
        <v>8645</v>
      </c>
      <c r="W28" s="475">
        <v>39703</v>
      </c>
      <c r="X28" s="475">
        <v>7734</v>
      </c>
      <c r="Y28" s="475">
        <v>-17783</v>
      </c>
      <c r="Z28" s="475">
        <v>5323</v>
      </c>
      <c r="AA28" s="475">
        <v>59418</v>
      </c>
      <c r="AB28" s="475">
        <v>2398</v>
      </c>
      <c r="AC28" s="475">
        <v>-20207</v>
      </c>
      <c r="AD28" s="475">
        <v>3533</v>
      </c>
      <c r="AE28" s="475">
        <v>52249</v>
      </c>
      <c r="AF28" s="475">
        <v>2623</v>
      </c>
      <c r="AG28" s="475">
        <v>40117</v>
      </c>
      <c r="AH28" s="475">
        <v>333</v>
      </c>
      <c r="AI28" s="475">
        <v>7153</v>
      </c>
      <c r="AJ28" s="475">
        <v>0</v>
      </c>
      <c r="AK28" s="475">
        <v>0</v>
      </c>
      <c r="AL28" s="475">
        <v>111</v>
      </c>
      <c r="AM28" s="475">
        <v>58</v>
      </c>
      <c r="AN28" s="475">
        <v>667</v>
      </c>
      <c r="AO28" s="475">
        <v>-7485</v>
      </c>
      <c r="AP28" s="475">
        <v>52296</v>
      </c>
      <c r="AQ28" s="475">
        <v>391772</v>
      </c>
      <c r="AR28" s="475">
        <v>3555</v>
      </c>
      <c r="AS28" s="475">
        <v>75155</v>
      </c>
      <c r="AT28" s="475">
        <v>217173</v>
      </c>
      <c r="AU28" s="475">
        <v>5144195</v>
      </c>
      <c r="AV28" s="475">
        <v>2178</v>
      </c>
      <c r="AW28" s="475">
        <v>9727</v>
      </c>
      <c r="AX28" s="475">
        <v>9670</v>
      </c>
      <c r="AY28" s="475">
        <v>8059</v>
      </c>
      <c r="AZ28" s="475">
        <v>1000</v>
      </c>
      <c r="BA28" s="475">
        <v>1100</v>
      </c>
      <c r="BB28" s="475">
        <v>0</v>
      </c>
      <c r="BC28" s="475">
        <v>0</v>
      </c>
      <c r="BD28" s="475">
        <v>29253</v>
      </c>
      <c r="BE28" s="475">
        <v>33817</v>
      </c>
      <c r="BF28" s="475">
        <v>4022</v>
      </c>
      <c r="BG28" s="475">
        <v>15252</v>
      </c>
      <c r="BH28" s="475">
        <v>112</v>
      </c>
      <c r="BI28" s="475">
        <v>1081</v>
      </c>
      <c r="BJ28" s="475">
        <v>333</v>
      </c>
      <c r="BK28" s="475">
        <v>34</v>
      </c>
      <c r="BL28" s="475">
        <v>667</v>
      </c>
      <c r="BM28" s="475">
        <v>5146</v>
      </c>
      <c r="BN28" s="475">
        <v>0</v>
      </c>
      <c r="BO28" s="475">
        <v>0</v>
      </c>
      <c r="BP28" s="475">
        <v>41491</v>
      </c>
      <c r="BQ28" s="475">
        <v>76991</v>
      </c>
      <c r="BR28" s="475">
        <v>48000</v>
      </c>
      <c r="BS28" s="475">
        <v>255769</v>
      </c>
      <c r="BT28" s="475">
        <v>11103</v>
      </c>
      <c r="BU28" s="475">
        <v>76008</v>
      </c>
      <c r="BV28" s="475">
        <v>3948</v>
      </c>
      <c r="BW28" s="475">
        <v>43610</v>
      </c>
      <c r="BX28" s="475">
        <v>6252</v>
      </c>
      <c r="BY28" s="475">
        <v>6994</v>
      </c>
      <c r="BZ28" s="475">
        <v>5252</v>
      </c>
      <c r="CA28" s="475">
        <v>27052</v>
      </c>
      <c r="CB28" s="475">
        <v>4274</v>
      </c>
      <c r="CC28" s="475">
        <v>3327</v>
      </c>
      <c r="CD28" s="475">
        <v>610</v>
      </c>
      <c r="CE28" s="475">
        <v>391</v>
      </c>
      <c r="CF28" s="475">
        <v>6640</v>
      </c>
      <c r="CG28" s="475">
        <v>37764</v>
      </c>
      <c r="CH28" s="475">
        <v>4640</v>
      </c>
      <c r="CI28" s="475">
        <v>54042</v>
      </c>
      <c r="CJ28" s="475">
        <v>365</v>
      </c>
      <c r="CK28" s="475">
        <v>194</v>
      </c>
      <c r="CL28" s="475">
        <v>4640</v>
      </c>
      <c r="CM28" s="475">
        <v>54236</v>
      </c>
      <c r="CN28" s="475">
        <v>4637</v>
      </c>
      <c r="CO28" s="475">
        <v>9066</v>
      </c>
      <c r="CP28" s="475">
        <v>3333</v>
      </c>
      <c r="CQ28" s="475">
        <v>4913</v>
      </c>
      <c r="CR28" s="475">
        <v>222</v>
      </c>
      <c r="CS28" s="475">
        <v>338</v>
      </c>
      <c r="CT28" s="475">
        <v>5081</v>
      </c>
      <c r="CU28" s="475">
        <v>14317</v>
      </c>
      <c r="CV28" s="475">
        <v>0</v>
      </c>
      <c r="CW28" s="475">
        <v>0</v>
      </c>
      <c r="CX28" s="475">
        <v>6214</v>
      </c>
      <c r="CY28" s="475">
        <v>28540</v>
      </c>
      <c r="CZ28" s="475">
        <v>6752</v>
      </c>
      <c r="DA28" s="475">
        <v>151360</v>
      </c>
      <c r="DB28" s="475">
        <v>0</v>
      </c>
      <c r="DC28" s="475">
        <v>0</v>
      </c>
      <c r="DD28" s="475">
        <v>21804</v>
      </c>
      <c r="DE28" s="475">
        <v>337360</v>
      </c>
      <c r="DF28" s="475">
        <v>195481</v>
      </c>
      <c r="DG28" s="475">
        <v>1209652</v>
      </c>
      <c r="DH28" s="475">
        <v>248069</v>
      </c>
      <c r="DI28" s="475">
        <v>30264</v>
      </c>
      <c r="DJ28" s="475">
        <v>128242</v>
      </c>
      <c r="DK28" s="475">
        <v>48475</v>
      </c>
      <c r="DL28" s="475">
        <v>43527</v>
      </c>
      <c r="DM28" s="475">
        <v>27</v>
      </c>
      <c r="DN28" s="475">
        <v>208723</v>
      </c>
      <c r="DO28" s="475">
        <v>84048</v>
      </c>
      <c r="DP28" s="475">
        <v>557</v>
      </c>
      <c r="DQ28" s="475">
        <v>27</v>
      </c>
      <c r="DR28" s="475">
        <v>53528</v>
      </c>
      <c r="DS28" s="475">
        <v>3106</v>
      </c>
      <c r="DT28" s="475">
        <v>53082</v>
      </c>
      <c r="DU28" s="475">
        <v>3074</v>
      </c>
      <c r="DV28" s="475">
        <v>0</v>
      </c>
      <c r="DW28" s="475">
        <v>0</v>
      </c>
      <c r="DX28" s="475">
        <v>32</v>
      </c>
      <c r="DY28" s="475">
        <v>107</v>
      </c>
      <c r="DZ28" s="475">
        <v>0</v>
      </c>
      <c r="EA28" s="475">
        <v>0</v>
      </c>
      <c r="EB28" s="475">
        <v>2890</v>
      </c>
      <c r="EC28" s="475">
        <v>408</v>
      </c>
      <c r="ED28" s="475">
        <v>167427</v>
      </c>
      <c r="EE28" s="475">
        <v>51016</v>
      </c>
      <c r="EF28" s="475">
        <v>2268</v>
      </c>
      <c r="EG28" s="475">
        <v>1363</v>
      </c>
      <c r="EH28" s="475">
        <v>0</v>
      </c>
      <c r="EI28" s="475">
        <v>0</v>
      </c>
      <c r="EJ28" s="475">
        <v>0</v>
      </c>
      <c r="EK28" s="475">
        <v>0</v>
      </c>
      <c r="EL28" s="475">
        <v>178810</v>
      </c>
      <c r="EM28" s="475">
        <v>73626</v>
      </c>
      <c r="EN28" s="475">
        <v>610</v>
      </c>
      <c r="EO28" s="475">
        <v>278</v>
      </c>
      <c r="EP28" s="476">
        <v>0</v>
      </c>
      <c r="EQ28" s="476">
        <v>0</v>
      </c>
      <c r="ER28" s="476">
        <v>0</v>
      </c>
      <c r="ES28" s="476">
        <v>0</v>
      </c>
      <c r="ET28" s="476">
        <v>0</v>
      </c>
      <c r="EU28" s="476">
        <v>0</v>
      </c>
    </row>
    <row r="29" spans="1:151" ht="15.5">
      <c r="A29" s="474" t="s">
        <v>739</v>
      </c>
      <c r="B29" s="475">
        <v>217576</v>
      </c>
      <c r="C29" s="475">
        <v>115926</v>
      </c>
      <c r="D29" s="475">
        <v>5264616</v>
      </c>
      <c r="E29" s="475">
        <v>-150722</v>
      </c>
      <c r="F29" s="475">
        <v>5113894</v>
      </c>
      <c r="G29" s="475">
        <v>1573880</v>
      </c>
      <c r="H29" s="475">
        <v>3574439</v>
      </c>
      <c r="I29" s="475">
        <v>17551</v>
      </c>
      <c r="J29" s="475">
        <v>177717</v>
      </c>
      <c r="K29" s="475">
        <v>4114438</v>
      </c>
      <c r="L29" s="475">
        <v>35867</v>
      </c>
      <c r="M29" s="475">
        <v>30694</v>
      </c>
      <c r="N29" s="475">
        <v>14684</v>
      </c>
      <c r="O29" s="475">
        <v>58703</v>
      </c>
      <c r="P29" s="475">
        <v>26304</v>
      </c>
      <c r="Q29" s="475">
        <v>380374</v>
      </c>
      <c r="R29" s="475">
        <v>27242</v>
      </c>
      <c r="S29" s="475">
        <v>452043</v>
      </c>
      <c r="T29" s="475">
        <v>6889</v>
      </c>
      <c r="U29" s="475">
        <v>-64429</v>
      </c>
      <c r="V29" s="475">
        <v>7997</v>
      </c>
      <c r="W29" s="475">
        <v>33777</v>
      </c>
      <c r="X29" s="475">
        <v>7432</v>
      </c>
      <c r="Y29" s="475">
        <v>-17234</v>
      </c>
      <c r="Z29" s="475">
        <v>4511</v>
      </c>
      <c r="AA29" s="475">
        <v>54567</v>
      </c>
      <c r="AB29" s="475">
        <v>2631</v>
      </c>
      <c r="AC29" s="475">
        <v>-29195</v>
      </c>
      <c r="AD29" s="475">
        <v>2993</v>
      </c>
      <c r="AE29" s="475">
        <v>41198</v>
      </c>
      <c r="AF29" s="475">
        <v>2180</v>
      </c>
      <c r="AG29" s="475">
        <v>35140</v>
      </c>
      <c r="AH29" s="475">
        <v>389</v>
      </c>
      <c r="AI29" s="475">
        <v>1917</v>
      </c>
      <c r="AJ29" s="475">
        <v>0</v>
      </c>
      <c r="AK29" s="475">
        <v>0</v>
      </c>
      <c r="AL29" s="475">
        <v>111</v>
      </c>
      <c r="AM29" s="475">
        <v>3377</v>
      </c>
      <c r="AN29" s="475">
        <v>55</v>
      </c>
      <c r="AO29" s="475">
        <v>-1555</v>
      </c>
      <c r="AP29" s="475">
        <v>51554</v>
      </c>
      <c r="AQ29" s="475">
        <v>401441</v>
      </c>
      <c r="AR29" s="475">
        <v>3035</v>
      </c>
      <c r="AS29" s="475">
        <v>99539</v>
      </c>
      <c r="AT29" s="475">
        <v>217465</v>
      </c>
      <c r="AU29" s="475">
        <v>5330955</v>
      </c>
      <c r="AV29" s="475">
        <v>1833</v>
      </c>
      <c r="AW29" s="475">
        <v>6790</v>
      </c>
      <c r="AX29" s="475">
        <v>10457</v>
      </c>
      <c r="AY29" s="475">
        <v>9168</v>
      </c>
      <c r="AZ29" s="475">
        <v>1456</v>
      </c>
      <c r="BA29" s="475">
        <v>3068</v>
      </c>
      <c r="BB29" s="475">
        <v>0</v>
      </c>
      <c r="BC29" s="475">
        <v>0</v>
      </c>
      <c r="BD29" s="475">
        <v>26854</v>
      </c>
      <c r="BE29" s="475">
        <v>33091</v>
      </c>
      <c r="BF29" s="475">
        <v>3500</v>
      </c>
      <c r="BG29" s="475">
        <v>11653</v>
      </c>
      <c r="BH29" s="475">
        <v>388</v>
      </c>
      <c r="BI29" s="475">
        <v>2000</v>
      </c>
      <c r="BJ29" s="475">
        <v>556</v>
      </c>
      <c r="BK29" s="475">
        <v>42</v>
      </c>
      <c r="BL29" s="475">
        <v>333</v>
      </c>
      <c r="BM29" s="475">
        <v>2347</v>
      </c>
      <c r="BN29" s="475">
        <v>0</v>
      </c>
      <c r="BO29" s="475">
        <v>0</v>
      </c>
      <c r="BP29" s="475">
        <v>40310</v>
      </c>
      <c r="BQ29" s="475">
        <v>68917</v>
      </c>
      <c r="BR29" s="475">
        <v>47545</v>
      </c>
      <c r="BS29" s="475">
        <v>238630</v>
      </c>
      <c r="BT29" s="475">
        <v>10601</v>
      </c>
      <c r="BU29" s="475">
        <v>87908</v>
      </c>
      <c r="BV29" s="475">
        <v>4665</v>
      </c>
      <c r="BW29" s="475">
        <v>51805</v>
      </c>
      <c r="BX29" s="475">
        <v>8347</v>
      </c>
      <c r="BY29" s="475">
        <v>10205</v>
      </c>
      <c r="BZ29" s="475">
        <v>7459</v>
      </c>
      <c r="CA29" s="475">
        <v>35767</v>
      </c>
      <c r="CB29" s="475">
        <v>5164</v>
      </c>
      <c r="CC29" s="475">
        <v>3082</v>
      </c>
      <c r="CD29" s="475">
        <v>944</v>
      </c>
      <c r="CE29" s="475">
        <v>510</v>
      </c>
      <c r="CF29" s="475">
        <v>8681</v>
      </c>
      <c r="CG29" s="475">
        <v>49564</v>
      </c>
      <c r="CH29" s="475">
        <v>6513</v>
      </c>
      <c r="CI29" s="475">
        <v>76361</v>
      </c>
      <c r="CJ29" s="475">
        <v>668</v>
      </c>
      <c r="CK29" s="475">
        <v>536</v>
      </c>
      <c r="CL29" s="475">
        <v>6737</v>
      </c>
      <c r="CM29" s="475">
        <v>76898</v>
      </c>
      <c r="CN29" s="475">
        <v>5109</v>
      </c>
      <c r="CO29" s="475">
        <v>11897</v>
      </c>
      <c r="CP29" s="475">
        <v>3609</v>
      </c>
      <c r="CQ29" s="475">
        <v>3506</v>
      </c>
      <c r="CR29" s="475">
        <v>333</v>
      </c>
      <c r="CS29" s="475">
        <v>1352</v>
      </c>
      <c r="CT29" s="475">
        <v>5497</v>
      </c>
      <c r="CU29" s="475">
        <v>16755</v>
      </c>
      <c r="CV29" s="475">
        <v>0</v>
      </c>
      <c r="CW29" s="475">
        <v>0</v>
      </c>
      <c r="CX29" s="475">
        <v>5470</v>
      </c>
      <c r="CY29" s="475">
        <v>17930</v>
      </c>
      <c r="CZ29" s="475">
        <v>8681</v>
      </c>
      <c r="DA29" s="475">
        <v>197318</v>
      </c>
      <c r="DB29" s="475">
        <v>0</v>
      </c>
      <c r="DC29" s="475">
        <v>0</v>
      </c>
      <c r="DD29" s="475">
        <v>24344</v>
      </c>
      <c r="DE29" s="475">
        <v>386050</v>
      </c>
      <c r="DF29" s="475">
        <v>193232</v>
      </c>
      <c r="DG29" s="475">
        <v>1187830</v>
      </c>
      <c r="DH29" s="475">
        <v>246241</v>
      </c>
      <c r="DI29" s="475">
        <v>30041</v>
      </c>
      <c r="DJ29" s="475">
        <v>122307</v>
      </c>
      <c r="DK29" s="475">
        <v>46232</v>
      </c>
      <c r="DL29" s="475">
        <v>41748</v>
      </c>
      <c r="DM29" s="475">
        <v>0</v>
      </c>
      <c r="DN29" s="475">
        <v>209237</v>
      </c>
      <c r="DO29" s="475">
        <v>81365</v>
      </c>
      <c r="DP29" s="475">
        <v>111</v>
      </c>
      <c r="DQ29" s="475">
        <v>9</v>
      </c>
      <c r="DR29" s="475">
        <v>53739</v>
      </c>
      <c r="DS29" s="475">
        <v>3192</v>
      </c>
      <c r="DT29" s="475">
        <v>53517</v>
      </c>
      <c r="DU29" s="475">
        <v>3165</v>
      </c>
      <c r="DV29" s="475">
        <v>0</v>
      </c>
      <c r="DW29" s="475">
        <v>0</v>
      </c>
      <c r="DX29" s="475">
        <v>222</v>
      </c>
      <c r="DY29" s="475">
        <v>164</v>
      </c>
      <c r="DZ29" s="475">
        <v>0</v>
      </c>
      <c r="EA29" s="475">
        <v>0</v>
      </c>
      <c r="EB29" s="475">
        <v>4335</v>
      </c>
      <c r="EC29" s="475">
        <v>795</v>
      </c>
      <c r="ED29" s="475">
        <v>173609</v>
      </c>
      <c r="EE29" s="475">
        <v>59443</v>
      </c>
      <c r="EF29" s="475">
        <v>1787</v>
      </c>
      <c r="EG29" s="475">
        <v>2925</v>
      </c>
      <c r="EH29" s="475">
        <v>0</v>
      </c>
      <c r="EI29" s="475">
        <v>0</v>
      </c>
      <c r="EJ29" s="475">
        <v>0</v>
      </c>
      <c r="EK29" s="475">
        <v>0</v>
      </c>
      <c r="EL29" s="475">
        <v>181458</v>
      </c>
      <c r="EM29" s="475">
        <v>77722</v>
      </c>
      <c r="EN29" s="475">
        <v>1167</v>
      </c>
      <c r="EO29" s="475">
        <v>846</v>
      </c>
      <c r="EP29" s="476">
        <v>0</v>
      </c>
      <c r="EQ29" s="476">
        <v>0</v>
      </c>
      <c r="ER29" s="476">
        <v>0</v>
      </c>
      <c r="ES29" s="476">
        <v>0</v>
      </c>
      <c r="ET29" s="476">
        <v>0</v>
      </c>
      <c r="EU29" s="476">
        <v>0</v>
      </c>
    </row>
    <row r="30" spans="1:151" ht="15.5">
      <c r="A30" s="474" t="s">
        <v>740</v>
      </c>
      <c r="B30" s="475">
        <v>215648</v>
      </c>
      <c r="C30" s="475">
        <v>111914</v>
      </c>
      <c r="D30" s="475">
        <v>5475150</v>
      </c>
      <c r="E30" s="475">
        <v>-190211</v>
      </c>
      <c r="F30" s="475">
        <v>5284939</v>
      </c>
      <c r="G30" s="475">
        <v>4424463</v>
      </c>
      <c r="H30" s="475">
        <v>3711993</v>
      </c>
      <c r="I30" s="475">
        <v>18007</v>
      </c>
      <c r="J30" s="475">
        <v>181057</v>
      </c>
      <c r="K30" s="475">
        <v>4343106</v>
      </c>
      <c r="L30" s="475">
        <v>35999</v>
      </c>
      <c r="M30" s="475">
        <v>36106</v>
      </c>
      <c r="N30" s="475">
        <v>15397</v>
      </c>
      <c r="O30" s="475">
        <v>55262</v>
      </c>
      <c r="P30" s="475">
        <v>22232</v>
      </c>
      <c r="Q30" s="475">
        <v>334972</v>
      </c>
      <c r="R30" s="475">
        <v>27180</v>
      </c>
      <c r="S30" s="475">
        <v>422679</v>
      </c>
      <c r="T30" s="475">
        <v>8834</v>
      </c>
      <c r="U30" s="475">
        <v>-73544</v>
      </c>
      <c r="V30" s="475">
        <v>8347</v>
      </c>
      <c r="W30" s="475">
        <v>30033</v>
      </c>
      <c r="X30" s="475">
        <v>4881</v>
      </c>
      <c r="Y30" s="475">
        <v>-12163</v>
      </c>
      <c r="Z30" s="475">
        <v>5787</v>
      </c>
      <c r="AA30" s="475">
        <v>64058</v>
      </c>
      <c r="AB30" s="475">
        <v>1977</v>
      </c>
      <c r="AC30" s="475">
        <v>-17804</v>
      </c>
      <c r="AD30" s="475">
        <v>2649</v>
      </c>
      <c r="AE30" s="475">
        <v>30883</v>
      </c>
      <c r="AF30" s="475">
        <v>1771</v>
      </c>
      <c r="AG30" s="475">
        <v>11058</v>
      </c>
      <c r="AH30" s="475">
        <v>389</v>
      </c>
      <c r="AI30" s="475">
        <v>6742</v>
      </c>
      <c r="AJ30" s="475">
        <v>167</v>
      </c>
      <c r="AK30" s="475">
        <v>3316</v>
      </c>
      <c r="AL30" s="475">
        <v>111</v>
      </c>
      <c r="AM30" s="475">
        <v>1791</v>
      </c>
      <c r="AN30" s="475">
        <v>111</v>
      </c>
      <c r="AO30" s="475">
        <v>-403</v>
      </c>
      <c r="AP30" s="475">
        <v>46464</v>
      </c>
      <c r="AQ30" s="475">
        <v>372388</v>
      </c>
      <c r="AR30" s="475">
        <v>1717</v>
      </c>
      <c r="AS30" s="475">
        <v>36194</v>
      </c>
      <c r="AT30" s="475">
        <v>215536</v>
      </c>
      <c r="AU30" s="475">
        <v>5544315</v>
      </c>
      <c r="AV30" s="475">
        <v>2668</v>
      </c>
      <c r="AW30" s="475">
        <v>13910</v>
      </c>
      <c r="AX30" s="475">
        <v>9223</v>
      </c>
      <c r="AY30" s="475">
        <v>7428</v>
      </c>
      <c r="AZ30" s="475">
        <v>1000</v>
      </c>
      <c r="BA30" s="475">
        <v>2504</v>
      </c>
      <c r="BB30" s="475">
        <v>0</v>
      </c>
      <c r="BC30" s="475">
        <v>0</v>
      </c>
      <c r="BD30" s="475">
        <v>27615</v>
      </c>
      <c r="BE30" s="475">
        <v>31623</v>
      </c>
      <c r="BF30" s="475">
        <v>3276</v>
      </c>
      <c r="BG30" s="475">
        <v>8624</v>
      </c>
      <c r="BH30" s="475">
        <v>445</v>
      </c>
      <c r="BI30" s="475">
        <v>2779</v>
      </c>
      <c r="BJ30" s="475">
        <v>1000</v>
      </c>
      <c r="BK30" s="475">
        <v>72</v>
      </c>
      <c r="BL30" s="475" t="s">
        <v>714</v>
      </c>
      <c r="BM30" s="475">
        <v>7</v>
      </c>
      <c r="BN30" s="475">
        <v>0</v>
      </c>
      <c r="BO30" s="475">
        <v>0</v>
      </c>
      <c r="BP30" s="475">
        <v>39839</v>
      </c>
      <c r="BQ30" s="475">
        <v>71847</v>
      </c>
      <c r="BR30" s="475">
        <v>42327</v>
      </c>
      <c r="BS30" s="475">
        <v>237641</v>
      </c>
      <c r="BT30" s="475">
        <v>8609</v>
      </c>
      <c r="BU30" s="475">
        <v>47430</v>
      </c>
      <c r="BV30" s="475">
        <v>5664</v>
      </c>
      <c r="BW30" s="475">
        <v>2866013</v>
      </c>
      <c r="BX30" s="475">
        <v>9271</v>
      </c>
      <c r="BY30" s="475">
        <v>8143</v>
      </c>
      <c r="BZ30" s="475">
        <v>7441</v>
      </c>
      <c r="CA30" s="475">
        <v>40846</v>
      </c>
      <c r="CB30" s="475">
        <v>5439</v>
      </c>
      <c r="CC30" s="475">
        <v>3154</v>
      </c>
      <c r="CD30" s="475">
        <v>1278</v>
      </c>
      <c r="CE30" s="475">
        <v>1412</v>
      </c>
      <c r="CF30" s="475">
        <v>9495</v>
      </c>
      <c r="CG30" s="475">
        <v>53554</v>
      </c>
      <c r="CH30" s="475">
        <v>6498</v>
      </c>
      <c r="CI30" s="475">
        <v>93727</v>
      </c>
      <c r="CJ30" s="475">
        <v>275</v>
      </c>
      <c r="CK30" s="475">
        <v>289</v>
      </c>
      <c r="CL30" s="475">
        <v>6609</v>
      </c>
      <c r="CM30" s="475">
        <v>94016</v>
      </c>
      <c r="CN30" s="475">
        <v>6273</v>
      </c>
      <c r="CO30" s="475">
        <v>13881</v>
      </c>
      <c r="CP30" s="475">
        <v>4496</v>
      </c>
      <c r="CQ30" s="475">
        <v>7192</v>
      </c>
      <c r="CR30" s="475">
        <v>333</v>
      </c>
      <c r="CS30" s="475">
        <v>1470</v>
      </c>
      <c r="CT30" s="475">
        <v>6993</v>
      </c>
      <c r="CU30" s="475">
        <v>22542</v>
      </c>
      <c r="CV30" s="475">
        <v>0</v>
      </c>
      <c r="CW30" s="475">
        <v>0</v>
      </c>
      <c r="CX30" s="475">
        <v>6356</v>
      </c>
      <c r="CY30" s="475">
        <v>39154</v>
      </c>
      <c r="CZ30" s="475">
        <v>9618</v>
      </c>
      <c r="DA30" s="475">
        <v>3043938</v>
      </c>
      <c r="DB30" s="475">
        <v>0</v>
      </c>
      <c r="DC30" s="475">
        <v>0</v>
      </c>
      <c r="DD30" s="475">
        <v>22287</v>
      </c>
      <c r="DE30" s="475">
        <v>3204467</v>
      </c>
      <c r="DF30" s="475">
        <v>193360</v>
      </c>
      <c r="DG30" s="475">
        <v>1219996</v>
      </c>
      <c r="DH30" s="475">
        <v>250701</v>
      </c>
      <c r="DI30" s="475">
        <v>30585</v>
      </c>
      <c r="DJ30" s="475">
        <v>128860</v>
      </c>
      <c r="DK30" s="475">
        <v>48709</v>
      </c>
      <c r="DL30" s="475">
        <v>38700</v>
      </c>
      <c r="DM30" s="475">
        <v>27</v>
      </c>
      <c r="DN30" s="475">
        <v>209255</v>
      </c>
      <c r="DO30" s="475">
        <v>84014</v>
      </c>
      <c r="DP30" s="475">
        <v>388</v>
      </c>
      <c r="DQ30" s="475">
        <v>11</v>
      </c>
      <c r="DR30" s="475">
        <v>52344</v>
      </c>
      <c r="DS30" s="475">
        <v>3152</v>
      </c>
      <c r="DT30" s="475">
        <v>52011</v>
      </c>
      <c r="DU30" s="475">
        <v>3109</v>
      </c>
      <c r="DV30" s="475">
        <v>0</v>
      </c>
      <c r="DW30" s="475">
        <v>0</v>
      </c>
      <c r="DX30" s="475">
        <v>277</v>
      </c>
      <c r="DY30" s="475">
        <v>244</v>
      </c>
      <c r="DZ30" s="475">
        <v>0</v>
      </c>
      <c r="EA30" s="475">
        <v>0</v>
      </c>
      <c r="EB30" s="475">
        <v>3557</v>
      </c>
      <c r="EC30" s="475">
        <v>272</v>
      </c>
      <c r="ED30" s="475">
        <v>171939</v>
      </c>
      <c r="EE30" s="475">
        <v>59140</v>
      </c>
      <c r="EF30" s="475">
        <v>1502</v>
      </c>
      <c r="EG30" s="475">
        <v>1620</v>
      </c>
      <c r="EH30" s="475" t="s">
        <v>714</v>
      </c>
      <c r="EI30" s="475">
        <v>0</v>
      </c>
      <c r="EJ30" s="475">
        <v>0</v>
      </c>
      <c r="EK30" s="475">
        <v>0</v>
      </c>
      <c r="EL30" s="475">
        <v>179443</v>
      </c>
      <c r="EM30" s="475">
        <v>78011</v>
      </c>
      <c r="EN30" s="475">
        <v>335</v>
      </c>
      <c r="EO30" s="475">
        <v>368</v>
      </c>
      <c r="EP30" s="476">
        <v>0</v>
      </c>
      <c r="EQ30" s="476">
        <v>0</v>
      </c>
      <c r="ER30" s="476">
        <v>0</v>
      </c>
      <c r="ES30" s="476">
        <v>0</v>
      </c>
      <c r="ET30" s="476">
        <v>0</v>
      </c>
      <c r="EU30" s="476">
        <v>0</v>
      </c>
    </row>
    <row r="31" spans="1:151" ht="15.5">
      <c r="A31" s="474" t="s">
        <v>741</v>
      </c>
      <c r="B31" s="475">
        <v>213029</v>
      </c>
      <c r="C31" s="475">
        <v>112282</v>
      </c>
      <c r="D31" s="475">
        <v>5643704</v>
      </c>
      <c r="E31" s="475">
        <v>-210844</v>
      </c>
      <c r="F31" s="475">
        <v>5432860</v>
      </c>
      <c r="G31" s="475">
        <v>1603444</v>
      </c>
      <c r="H31" s="475">
        <v>3869686</v>
      </c>
      <c r="I31" s="475">
        <v>19646</v>
      </c>
      <c r="J31" s="475">
        <v>178192</v>
      </c>
      <c r="K31" s="475">
        <v>4451737</v>
      </c>
      <c r="L31" s="475">
        <v>37648</v>
      </c>
      <c r="M31" s="475">
        <v>23230</v>
      </c>
      <c r="N31" s="475">
        <v>15444</v>
      </c>
      <c r="O31" s="475">
        <v>55555</v>
      </c>
      <c r="P31" s="475">
        <v>24260</v>
      </c>
      <c r="Q31" s="475">
        <v>357039</v>
      </c>
      <c r="R31" s="475">
        <v>26793</v>
      </c>
      <c r="S31" s="475">
        <v>452508</v>
      </c>
      <c r="T31" s="475">
        <v>8506</v>
      </c>
      <c r="U31" s="475">
        <v>-56314</v>
      </c>
      <c r="V31" s="475">
        <v>9599</v>
      </c>
      <c r="W31" s="475">
        <v>31144</v>
      </c>
      <c r="X31" s="475">
        <v>6142</v>
      </c>
      <c r="Y31" s="475">
        <v>-15631</v>
      </c>
      <c r="Z31" s="475">
        <v>5733</v>
      </c>
      <c r="AA31" s="475">
        <v>49787</v>
      </c>
      <c r="AB31" s="475">
        <v>3408</v>
      </c>
      <c r="AC31" s="475">
        <v>-33752</v>
      </c>
      <c r="AD31" s="475">
        <v>3631</v>
      </c>
      <c r="AE31" s="475">
        <v>49545</v>
      </c>
      <c r="AF31" s="475">
        <v>2164</v>
      </c>
      <c r="AG31" s="475">
        <v>27796</v>
      </c>
      <c r="AH31" s="475">
        <v>277</v>
      </c>
      <c r="AI31" s="475">
        <v>2637</v>
      </c>
      <c r="AJ31" s="475">
        <v>0</v>
      </c>
      <c r="AK31" s="475">
        <v>0</v>
      </c>
      <c r="AL31" s="475">
        <v>166</v>
      </c>
      <c r="AM31" s="475">
        <v>1349</v>
      </c>
      <c r="AN31" s="475">
        <v>220</v>
      </c>
      <c r="AO31" s="475">
        <v>-1268</v>
      </c>
      <c r="AP31" s="475">
        <v>49548</v>
      </c>
      <c r="AQ31" s="475">
        <v>429808</v>
      </c>
      <c r="AR31" s="475">
        <v>2278</v>
      </c>
      <c r="AS31" s="475">
        <v>53699</v>
      </c>
      <c r="AT31" s="475">
        <v>213029</v>
      </c>
      <c r="AU31" s="475">
        <v>5715914</v>
      </c>
      <c r="AV31" s="475">
        <v>1722</v>
      </c>
      <c r="AW31" s="475">
        <v>8231</v>
      </c>
      <c r="AX31" s="475">
        <v>10721</v>
      </c>
      <c r="AY31" s="475">
        <v>8647</v>
      </c>
      <c r="AZ31" s="475">
        <v>778</v>
      </c>
      <c r="BA31" s="475">
        <v>1609</v>
      </c>
      <c r="BB31" s="475">
        <v>0</v>
      </c>
      <c r="BC31" s="475">
        <v>0</v>
      </c>
      <c r="BD31" s="475">
        <v>26902</v>
      </c>
      <c r="BE31" s="475">
        <v>33218</v>
      </c>
      <c r="BF31" s="475">
        <v>4398</v>
      </c>
      <c r="BG31" s="475">
        <v>15918</v>
      </c>
      <c r="BH31" s="475">
        <v>166</v>
      </c>
      <c r="BI31" s="475">
        <v>629</v>
      </c>
      <c r="BJ31" s="475">
        <v>111</v>
      </c>
      <c r="BK31" s="475">
        <v>13</v>
      </c>
      <c r="BL31" s="475">
        <v>0</v>
      </c>
      <c r="BM31" s="475">
        <v>0</v>
      </c>
      <c r="BN31" s="475">
        <v>0</v>
      </c>
      <c r="BO31" s="475">
        <v>0</v>
      </c>
      <c r="BP31" s="475">
        <v>40735</v>
      </c>
      <c r="BQ31" s="475">
        <v>72137</v>
      </c>
      <c r="BR31" s="475">
        <v>45486</v>
      </c>
      <c r="BS31" s="475">
        <v>269469</v>
      </c>
      <c r="BT31" s="475">
        <v>10344</v>
      </c>
      <c r="BU31" s="475">
        <v>58625</v>
      </c>
      <c r="BV31" s="475">
        <v>5548</v>
      </c>
      <c r="BW31" s="475">
        <v>64585</v>
      </c>
      <c r="BX31" s="475">
        <v>9834</v>
      </c>
      <c r="BY31" s="475">
        <v>19380</v>
      </c>
      <c r="BZ31" s="475">
        <v>8780</v>
      </c>
      <c r="CA31" s="475">
        <v>42693</v>
      </c>
      <c r="CB31" s="475">
        <v>6876</v>
      </c>
      <c r="CC31" s="475">
        <v>2495</v>
      </c>
      <c r="CD31" s="475">
        <v>722</v>
      </c>
      <c r="CE31" s="475">
        <v>322</v>
      </c>
      <c r="CF31" s="475">
        <v>10223</v>
      </c>
      <c r="CG31" s="475">
        <v>64891</v>
      </c>
      <c r="CH31" s="475">
        <v>8224</v>
      </c>
      <c r="CI31" s="475">
        <v>97808</v>
      </c>
      <c r="CJ31" s="475">
        <v>1166</v>
      </c>
      <c r="CK31" s="475">
        <v>1070</v>
      </c>
      <c r="CL31" s="475">
        <v>8390</v>
      </c>
      <c r="CM31" s="475">
        <v>98879</v>
      </c>
      <c r="CN31" s="475">
        <v>6711</v>
      </c>
      <c r="CO31" s="475">
        <v>15321</v>
      </c>
      <c r="CP31" s="475">
        <v>5046</v>
      </c>
      <c r="CQ31" s="475">
        <v>5654</v>
      </c>
      <c r="CR31" s="475">
        <v>333</v>
      </c>
      <c r="CS31" s="475">
        <v>1269</v>
      </c>
      <c r="CT31" s="475">
        <v>7931</v>
      </c>
      <c r="CU31" s="475">
        <v>22244</v>
      </c>
      <c r="CV31" s="475">
        <v>0</v>
      </c>
      <c r="CW31" s="475">
        <v>0</v>
      </c>
      <c r="CX31" s="475">
        <v>7239</v>
      </c>
      <c r="CY31" s="475">
        <v>30150</v>
      </c>
      <c r="CZ31" s="475">
        <v>10223</v>
      </c>
      <c r="DA31" s="475">
        <v>249260</v>
      </c>
      <c r="DB31" s="475">
        <v>111</v>
      </c>
      <c r="DC31" s="475">
        <v>-111</v>
      </c>
      <c r="DD31" s="475">
        <v>25944</v>
      </c>
      <c r="DE31" s="475">
        <v>427159</v>
      </c>
      <c r="DF31" s="475">
        <v>187084</v>
      </c>
      <c r="DG31" s="475">
        <v>1176285</v>
      </c>
      <c r="DH31" s="475">
        <v>247586</v>
      </c>
      <c r="DI31" s="475">
        <v>30206</v>
      </c>
      <c r="DJ31" s="475">
        <v>124390</v>
      </c>
      <c r="DK31" s="475">
        <v>47019</v>
      </c>
      <c r="DL31" s="475">
        <v>39858</v>
      </c>
      <c r="DM31" s="475">
        <v>14</v>
      </c>
      <c r="DN31" s="475">
        <v>207247</v>
      </c>
      <c r="DO31" s="475">
        <v>82087</v>
      </c>
      <c r="DP31" s="475">
        <v>333</v>
      </c>
      <c r="DQ31" s="475">
        <v>24</v>
      </c>
      <c r="DR31" s="475">
        <v>52391</v>
      </c>
      <c r="DS31" s="475">
        <v>3143</v>
      </c>
      <c r="DT31" s="475">
        <v>52168</v>
      </c>
      <c r="DU31" s="475">
        <v>3115</v>
      </c>
      <c r="DV31" s="475">
        <v>0</v>
      </c>
      <c r="DW31" s="475">
        <v>0</v>
      </c>
      <c r="DX31" s="475">
        <v>0</v>
      </c>
      <c r="DY31" s="475">
        <v>0</v>
      </c>
      <c r="DZ31" s="475">
        <v>0</v>
      </c>
      <c r="EA31" s="475">
        <v>0</v>
      </c>
      <c r="EB31" s="475">
        <v>3163</v>
      </c>
      <c r="EC31" s="475">
        <v>373</v>
      </c>
      <c r="ED31" s="475">
        <v>172834</v>
      </c>
      <c r="EE31" s="475">
        <v>63390</v>
      </c>
      <c r="EF31" s="475">
        <v>2166</v>
      </c>
      <c r="EG31" s="475">
        <v>2156</v>
      </c>
      <c r="EH31" s="475" t="s">
        <v>714</v>
      </c>
      <c r="EI31" s="475">
        <v>0</v>
      </c>
      <c r="EJ31" s="475">
        <v>0</v>
      </c>
      <c r="EK31" s="475">
        <v>0</v>
      </c>
      <c r="EL31" s="475">
        <v>180728</v>
      </c>
      <c r="EM31" s="475">
        <v>73654</v>
      </c>
      <c r="EN31" s="475">
        <v>833</v>
      </c>
      <c r="EO31" s="475">
        <v>1289</v>
      </c>
      <c r="EP31" s="476">
        <v>0</v>
      </c>
      <c r="EQ31" s="476">
        <v>0</v>
      </c>
      <c r="ER31" s="476">
        <v>0</v>
      </c>
      <c r="ES31" s="476">
        <v>0</v>
      </c>
      <c r="ET31" s="476">
        <v>0</v>
      </c>
      <c r="EU31" s="476">
        <v>0</v>
      </c>
    </row>
    <row r="32" spans="1:151" ht="15.5">
      <c r="A32" s="474" t="s">
        <v>742</v>
      </c>
      <c r="B32" s="475">
        <v>211293</v>
      </c>
      <c r="C32" s="475">
        <v>116093</v>
      </c>
      <c r="D32" s="475">
        <v>5782308</v>
      </c>
      <c r="E32" s="475">
        <v>-185176</v>
      </c>
      <c r="F32" s="475">
        <v>5597132</v>
      </c>
      <c r="G32" s="475">
        <v>1557555</v>
      </c>
      <c r="H32" s="475">
        <v>4084530</v>
      </c>
      <c r="I32" s="475">
        <v>24101</v>
      </c>
      <c r="J32" s="475">
        <v>177625</v>
      </c>
      <c r="K32" s="475">
        <v>4595174</v>
      </c>
      <c r="L32" s="475">
        <v>36632</v>
      </c>
      <c r="M32" s="475">
        <v>38820</v>
      </c>
      <c r="N32" s="475">
        <v>15800</v>
      </c>
      <c r="O32" s="475">
        <v>61122</v>
      </c>
      <c r="P32" s="475">
        <v>20939</v>
      </c>
      <c r="Q32" s="475">
        <v>357734</v>
      </c>
      <c r="R32" s="475">
        <v>27122</v>
      </c>
      <c r="S32" s="475">
        <v>476637</v>
      </c>
      <c r="T32" s="475">
        <v>6828</v>
      </c>
      <c r="U32" s="475">
        <v>-72321</v>
      </c>
      <c r="V32" s="475">
        <v>8429</v>
      </c>
      <c r="W32" s="475">
        <v>38585</v>
      </c>
      <c r="X32" s="475">
        <v>6167</v>
      </c>
      <c r="Y32" s="475">
        <v>-12162</v>
      </c>
      <c r="Z32" s="475">
        <v>5211</v>
      </c>
      <c r="AA32" s="475">
        <v>62501</v>
      </c>
      <c r="AB32" s="475">
        <v>2841</v>
      </c>
      <c r="AC32" s="475">
        <v>-24175</v>
      </c>
      <c r="AD32" s="475">
        <v>2298</v>
      </c>
      <c r="AE32" s="475">
        <v>36621</v>
      </c>
      <c r="AF32" s="475">
        <v>1688</v>
      </c>
      <c r="AG32" s="475">
        <v>23306</v>
      </c>
      <c r="AH32" s="475">
        <v>554</v>
      </c>
      <c r="AI32" s="475">
        <v>5215</v>
      </c>
      <c r="AJ32" s="475">
        <v>0</v>
      </c>
      <c r="AK32" s="475">
        <v>0</v>
      </c>
      <c r="AL32" s="475">
        <v>0</v>
      </c>
      <c r="AM32" s="475">
        <v>0</v>
      </c>
      <c r="AN32" s="475">
        <v>166</v>
      </c>
      <c r="AO32" s="475">
        <v>-955</v>
      </c>
      <c r="AP32" s="475">
        <v>46670</v>
      </c>
      <c r="AQ32" s="475">
        <v>383541</v>
      </c>
      <c r="AR32" s="475">
        <v>2420</v>
      </c>
      <c r="AS32" s="475">
        <v>55867</v>
      </c>
      <c r="AT32" s="475">
        <v>211182</v>
      </c>
      <c r="AU32" s="475">
        <v>5866520</v>
      </c>
      <c r="AV32" s="475">
        <v>1275</v>
      </c>
      <c r="AW32" s="475">
        <v>6138</v>
      </c>
      <c r="AX32" s="475">
        <v>10220</v>
      </c>
      <c r="AY32" s="475">
        <v>9336</v>
      </c>
      <c r="AZ32" s="475">
        <v>778</v>
      </c>
      <c r="BA32" s="475">
        <v>2059</v>
      </c>
      <c r="BB32" s="475">
        <v>111</v>
      </c>
      <c r="BC32" s="475">
        <v>88</v>
      </c>
      <c r="BD32" s="475">
        <v>26678</v>
      </c>
      <c r="BE32" s="475">
        <v>35024</v>
      </c>
      <c r="BF32" s="475">
        <v>4330</v>
      </c>
      <c r="BG32" s="475">
        <v>16405</v>
      </c>
      <c r="BH32" s="475">
        <v>222</v>
      </c>
      <c r="BI32" s="475">
        <v>3724</v>
      </c>
      <c r="BJ32" s="475">
        <v>166</v>
      </c>
      <c r="BK32" s="475">
        <v>21</v>
      </c>
      <c r="BL32" s="475">
        <v>277</v>
      </c>
      <c r="BM32" s="475">
        <v>5456</v>
      </c>
      <c r="BN32" s="475">
        <v>0</v>
      </c>
      <c r="BO32" s="475">
        <v>0</v>
      </c>
      <c r="BP32" s="475">
        <v>39061</v>
      </c>
      <c r="BQ32" s="475">
        <v>81470</v>
      </c>
      <c r="BR32" s="475">
        <v>41599</v>
      </c>
      <c r="BS32" s="475">
        <v>251772</v>
      </c>
      <c r="BT32" s="475">
        <v>10310</v>
      </c>
      <c r="BU32" s="475">
        <v>66595</v>
      </c>
      <c r="BV32" s="475">
        <v>5107</v>
      </c>
      <c r="BW32" s="475">
        <v>72524</v>
      </c>
      <c r="BX32" s="475">
        <v>8046</v>
      </c>
      <c r="BY32" s="475">
        <v>8195</v>
      </c>
      <c r="BZ32" s="475">
        <v>5993</v>
      </c>
      <c r="CA32" s="475">
        <v>30224</v>
      </c>
      <c r="CB32" s="475">
        <v>4607</v>
      </c>
      <c r="CC32" s="475">
        <v>2968</v>
      </c>
      <c r="CD32" s="475">
        <v>831</v>
      </c>
      <c r="CE32" s="475">
        <v>850</v>
      </c>
      <c r="CF32" s="475">
        <v>8213</v>
      </c>
      <c r="CG32" s="475">
        <v>42237</v>
      </c>
      <c r="CH32" s="475">
        <v>5330</v>
      </c>
      <c r="CI32" s="475">
        <v>71404</v>
      </c>
      <c r="CJ32" s="475">
        <v>674</v>
      </c>
      <c r="CK32" s="475">
        <v>450</v>
      </c>
      <c r="CL32" s="475">
        <v>5441</v>
      </c>
      <c r="CM32" s="475">
        <v>71853</v>
      </c>
      <c r="CN32" s="475">
        <v>4929</v>
      </c>
      <c r="CO32" s="475">
        <v>12004</v>
      </c>
      <c r="CP32" s="475">
        <v>3488</v>
      </c>
      <c r="CQ32" s="475">
        <v>4103</v>
      </c>
      <c r="CR32" s="475">
        <v>386</v>
      </c>
      <c r="CS32" s="475">
        <v>3902</v>
      </c>
      <c r="CT32" s="475">
        <v>5369</v>
      </c>
      <c r="CU32" s="475">
        <v>20008</v>
      </c>
      <c r="CV32" s="475">
        <v>0</v>
      </c>
      <c r="CW32" s="475">
        <v>0</v>
      </c>
      <c r="CX32" s="475">
        <v>4334</v>
      </c>
      <c r="CY32" s="475">
        <v>26466</v>
      </c>
      <c r="CZ32" s="475">
        <v>8326</v>
      </c>
      <c r="DA32" s="475">
        <v>214323</v>
      </c>
      <c r="DB32" s="475">
        <v>0</v>
      </c>
      <c r="DC32" s="475">
        <v>0</v>
      </c>
      <c r="DD32" s="475">
        <v>21802</v>
      </c>
      <c r="DE32" s="475">
        <v>383787</v>
      </c>
      <c r="DF32" s="475">
        <v>189214</v>
      </c>
      <c r="DG32" s="475">
        <v>1173768</v>
      </c>
      <c r="DH32" s="475">
        <v>243569</v>
      </c>
      <c r="DI32" s="475">
        <v>29715</v>
      </c>
      <c r="DJ32" s="475">
        <v>125718</v>
      </c>
      <c r="DK32" s="475">
        <v>47521</v>
      </c>
      <c r="DL32" s="475">
        <v>39358</v>
      </c>
      <c r="DM32" s="475">
        <v>61</v>
      </c>
      <c r="DN32" s="475">
        <v>207069</v>
      </c>
      <c r="DO32" s="475">
        <v>82038</v>
      </c>
      <c r="DP32" s="475">
        <v>445</v>
      </c>
      <c r="DQ32" s="475">
        <v>52</v>
      </c>
      <c r="DR32" s="475">
        <v>55444</v>
      </c>
      <c r="DS32" s="475">
        <v>3375</v>
      </c>
      <c r="DT32" s="475">
        <v>54945</v>
      </c>
      <c r="DU32" s="475">
        <v>3310</v>
      </c>
      <c r="DV32" s="475">
        <v>0</v>
      </c>
      <c r="DW32" s="475">
        <v>0</v>
      </c>
      <c r="DX32" s="475">
        <v>0</v>
      </c>
      <c r="DY32" s="475">
        <v>0</v>
      </c>
      <c r="DZ32" s="475">
        <v>0</v>
      </c>
      <c r="EA32" s="475">
        <v>0</v>
      </c>
      <c r="EB32" s="475">
        <v>2443</v>
      </c>
      <c r="EC32" s="475">
        <v>405</v>
      </c>
      <c r="ED32" s="475">
        <v>169303</v>
      </c>
      <c r="EE32" s="475">
        <v>66851</v>
      </c>
      <c r="EF32" s="475">
        <v>2120</v>
      </c>
      <c r="EG32" s="475">
        <v>1320</v>
      </c>
      <c r="EH32" s="475">
        <v>0</v>
      </c>
      <c r="EI32" s="475">
        <v>0</v>
      </c>
      <c r="EJ32" s="475">
        <v>0</v>
      </c>
      <c r="EK32" s="475">
        <v>0</v>
      </c>
      <c r="EL32" s="475">
        <v>171651</v>
      </c>
      <c r="EM32" s="475">
        <v>66365</v>
      </c>
      <c r="EN32" s="475">
        <v>1053</v>
      </c>
      <c r="EO32" s="475">
        <v>209</v>
      </c>
      <c r="EP32" s="476">
        <v>0</v>
      </c>
      <c r="EQ32" s="476">
        <v>0</v>
      </c>
      <c r="ER32" s="476">
        <v>0</v>
      </c>
      <c r="ES32" s="476">
        <v>0</v>
      </c>
      <c r="ET32" s="476">
        <v>0</v>
      </c>
      <c r="EU32" s="476">
        <v>0</v>
      </c>
    </row>
    <row r="33" spans="1:151" ht="15.5">
      <c r="A33" s="474" t="s">
        <v>743</v>
      </c>
      <c r="B33" s="475">
        <v>211801</v>
      </c>
      <c r="C33" s="475">
        <v>112963</v>
      </c>
      <c r="D33" s="475">
        <v>6045825</v>
      </c>
      <c r="E33" s="475">
        <v>-222318</v>
      </c>
      <c r="F33" s="475">
        <v>5823536</v>
      </c>
      <c r="G33" s="475">
        <v>1604281</v>
      </c>
      <c r="H33" s="475">
        <v>4264094</v>
      </c>
      <c r="I33" s="475">
        <v>28409</v>
      </c>
      <c r="J33" s="475">
        <v>181310</v>
      </c>
      <c r="K33" s="475">
        <v>4844341</v>
      </c>
      <c r="L33" s="475">
        <v>36915</v>
      </c>
      <c r="M33" s="475">
        <v>43322</v>
      </c>
      <c r="N33" s="475">
        <v>17615</v>
      </c>
      <c r="O33" s="475">
        <v>61433</v>
      </c>
      <c r="P33" s="475">
        <v>24602</v>
      </c>
      <c r="Q33" s="475">
        <v>395733</v>
      </c>
      <c r="R33" s="475">
        <v>24843</v>
      </c>
      <c r="S33" s="475">
        <v>418441</v>
      </c>
      <c r="T33" s="475">
        <v>6880</v>
      </c>
      <c r="U33" s="475">
        <v>-52207</v>
      </c>
      <c r="V33" s="475">
        <v>9273</v>
      </c>
      <c r="W33" s="475">
        <v>63054</v>
      </c>
      <c r="X33" s="475">
        <v>7763</v>
      </c>
      <c r="Y33" s="475">
        <v>-15769</v>
      </c>
      <c r="Z33" s="475">
        <v>5536</v>
      </c>
      <c r="AA33" s="475">
        <v>54596</v>
      </c>
      <c r="AB33" s="475">
        <v>2769</v>
      </c>
      <c r="AC33" s="475">
        <v>-40988</v>
      </c>
      <c r="AD33" s="475">
        <v>2920</v>
      </c>
      <c r="AE33" s="475">
        <v>41931</v>
      </c>
      <c r="AF33" s="475">
        <v>2003</v>
      </c>
      <c r="AG33" s="475">
        <v>30384</v>
      </c>
      <c r="AH33" s="475">
        <v>55</v>
      </c>
      <c r="AI33" s="475">
        <v>5</v>
      </c>
      <c r="AJ33" s="475">
        <v>0</v>
      </c>
      <c r="AK33" s="475">
        <v>0</v>
      </c>
      <c r="AL33" s="475" t="s">
        <v>714</v>
      </c>
      <c r="AM33" s="475">
        <v>1</v>
      </c>
      <c r="AN33" s="475">
        <v>87</v>
      </c>
      <c r="AO33" s="475">
        <v>-10350</v>
      </c>
      <c r="AP33" s="475">
        <v>49597</v>
      </c>
      <c r="AQ33" s="475">
        <v>414056</v>
      </c>
      <c r="AR33" s="475">
        <v>2651</v>
      </c>
      <c r="AS33" s="475">
        <v>63168</v>
      </c>
      <c r="AT33" s="475">
        <v>211690</v>
      </c>
      <c r="AU33" s="475">
        <v>6123379</v>
      </c>
      <c r="AV33" s="475">
        <v>1718</v>
      </c>
      <c r="AW33" s="475">
        <v>8730</v>
      </c>
      <c r="AX33" s="475">
        <v>10832</v>
      </c>
      <c r="AY33" s="475">
        <v>9044</v>
      </c>
      <c r="AZ33" s="475">
        <v>499</v>
      </c>
      <c r="BA33" s="475">
        <v>1398</v>
      </c>
      <c r="BB33" s="475">
        <v>111</v>
      </c>
      <c r="BC33" s="475">
        <v>333</v>
      </c>
      <c r="BD33" s="475">
        <v>23957</v>
      </c>
      <c r="BE33" s="475">
        <v>31438</v>
      </c>
      <c r="BF33" s="475">
        <v>4714</v>
      </c>
      <c r="BG33" s="475">
        <v>18567</v>
      </c>
      <c r="BH33" s="475">
        <v>277</v>
      </c>
      <c r="BI33" s="475">
        <v>1380</v>
      </c>
      <c r="BJ33" s="475">
        <v>388</v>
      </c>
      <c r="BK33" s="475">
        <v>75</v>
      </c>
      <c r="BL33" s="475">
        <v>555</v>
      </c>
      <c r="BM33" s="475">
        <v>4301</v>
      </c>
      <c r="BN33" s="475">
        <v>0</v>
      </c>
      <c r="BO33" s="475">
        <v>0</v>
      </c>
      <c r="BP33" s="475">
        <v>37450</v>
      </c>
      <c r="BQ33" s="475">
        <v>79927</v>
      </c>
      <c r="BR33" s="475">
        <v>44482</v>
      </c>
      <c r="BS33" s="475">
        <v>303776</v>
      </c>
      <c r="BT33" s="475">
        <v>10290</v>
      </c>
      <c r="BU33" s="475">
        <v>81458</v>
      </c>
      <c r="BV33" s="475">
        <v>6305</v>
      </c>
      <c r="BW33" s="475">
        <v>88936</v>
      </c>
      <c r="BX33" s="475">
        <v>8856</v>
      </c>
      <c r="BY33" s="475">
        <v>11061</v>
      </c>
      <c r="BZ33" s="475">
        <v>6983</v>
      </c>
      <c r="CA33" s="475">
        <v>35560</v>
      </c>
      <c r="CB33" s="475">
        <v>5377</v>
      </c>
      <c r="CC33" s="475">
        <v>2574</v>
      </c>
      <c r="CD33" s="475">
        <v>1331</v>
      </c>
      <c r="CE33" s="475">
        <v>2251</v>
      </c>
      <c r="CF33" s="475">
        <v>9366</v>
      </c>
      <c r="CG33" s="475">
        <v>51446</v>
      </c>
      <c r="CH33" s="475">
        <v>6484</v>
      </c>
      <c r="CI33" s="475">
        <v>72828</v>
      </c>
      <c r="CJ33" s="475">
        <v>1553</v>
      </c>
      <c r="CK33" s="475">
        <v>2254</v>
      </c>
      <c r="CL33" s="475">
        <v>6652</v>
      </c>
      <c r="CM33" s="475">
        <v>75081</v>
      </c>
      <c r="CN33" s="475">
        <v>6301</v>
      </c>
      <c r="CO33" s="475">
        <v>14459</v>
      </c>
      <c r="CP33" s="475">
        <v>4255</v>
      </c>
      <c r="CQ33" s="475">
        <v>3697</v>
      </c>
      <c r="CR33" s="475">
        <v>222</v>
      </c>
      <c r="CS33" s="475">
        <v>315</v>
      </c>
      <c r="CT33" s="475">
        <v>7132</v>
      </c>
      <c r="CU33" s="475">
        <v>18470</v>
      </c>
      <c r="CV33" s="475">
        <v>0</v>
      </c>
      <c r="CW33" s="475">
        <v>0</v>
      </c>
      <c r="CX33" s="475">
        <v>5833</v>
      </c>
      <c r="CY33" s="475">
        <v>34276</v>
      </c>
      <c r="CZ33" s="475">
        <v>9366</v>
      </c>
      <c r="DA33" s="475">
        <v>238821</v>
      </c>
      <c r="DB33" s="475">
        <v>111</v>
      </c>
      <c r="DC33" s="475">
        <v>111</v>
      </c>
      <c r="DD33" s="475">
        <v>23146</v>
      </c>
      <c r="DE33" s="475">
        <v>412586</v>
      </c>
      <c r="DF33" s="475">
        <v>188433</v>
      </c>
      <c r="DG33" s="475">
        <v>1191696</v>
      </c>
      <c r="DH33" s="475">
        <v>245893</v>
      </c>
      <c r="DI33" s="475">
        <v>29999</v>
      </c>
      <c r="DJ33" s="475">
        <v>125980</v>
      </c>
      <c r="DK33" s="475">
        <v>47620</v>
      </c>
      <c r="DL33" s="475">
        <v>40535</v>
      </c>
      <c r="DM33" s="475">
        <v>40</v>
      </c>
      <c r="DN33" s="475">
        <v>206909</v>
      </c>
      <c r="DO33" s="475">
        <v>82563</v>
      </c>
      <c r="DP33" s="475">
        <v>778</v>
      </c>
      <c r="DQ33" s="475">
        <v>29</v>
      </c>
      <c r="DR33" s="475">
        <v>54152</v>
      </c>
      <c r="DS33" s="475">
        <v>3306</v>
      </c>
      <c r="DT33" s="475">
        <v>53543</v>
      </c>
      <c r="DU33" s="475">
        <v>3224</v>
      </c>
      <c r="DV33" s="475">
        <v>0</v>
      </c>
      <c r="DW33" s="475">
        <v>0</v>
      </c>
      <c r="DX33" s="475">
        <v>223</v>
      </c>
      <c r="DY33" s="475">
        <v>127</v>
      </c>
      <c r="DZ33" s="475">
        <v>0</v>
      </c>
      <c r="EA33" s="475">
        <v>0</v>
      </c>
      <c r="EB33" s="475">
        <v>2888</v>
      </c>
      <c r="EC33" s="475">
        <v>296</v>
      </c>
      <c r="ED33" s="475">
        <v>176530</v>
      </c>
      <c r="EE33" s="475">
        <v>73477</v>
      </c>
      <c r="EF33" s="475">
        <v>3029</v>
      </c>
      <c r="EG33" s="475">
        <v>3248</v>
      </c>
      <c r="EH33" s="475">
        <v>0</v>
      </c>
      <c r="EI33" s="475">
        <v>0</v>
      </c>
      <c r="EJ33" s="475">
        <v>111</v>
      </c>
      <c r="EK33" s="475">
        <v>9</v>
      </c>
      <c r="EL33" s="475">
        <v>175972</v>
      </c>
      <c r="EM33" s="475">
        <v>65599</v>
      </c>
      <c r="EN33" s="475">
        <v>1753</v>
      </c>
      <c r="EO33" s="475">
        <v>1270</v>
      </c>
      <c r="EP33" s="476">
        <v>0</v>
      </c>
      <c r="EQ33" s="476">
        <v>0</v>
      </c>
      <c r="ER33" s="476">
        <v>0</v>
      </c>
      <c r="ES33" s="476">
        <v>0</v>
      </c>
      <c r="ET33" s="476">
        <v>0</v>
      </c>
      <c r="EU33" s="476">
        <v>0</v>
      </c>
    </row>
    <row r="34" spans="1:151" ht="15.5">
      <c r="A34" s="474" t="s">
        <v>744</v>
      </c>
      <c r="B34" s="475">
        <v>213278</v>
      </c>
      <c r="C34" s="475">
        <v>113096</v>
      </c>
      <c r="D34" s="475">
        <v>6301420</v>
      </c>
      <c r="E34" s="475">
        <v>-223873</v>
      </c>
      <c r="F34" s="475">
        <v>6076923</v>
      </c>
      <c r="G34" s="475">
        <v>1695424</v>
      </c>
      <c r="H34" s="475">
        <v>4457463</v>
      </c>
      <c r="I34" s="475">
        <v>31767</v>
      </c>
      <c r="J34" s="475">
        <v>181320</v>
      </c>
      <c r="K34" s="475">
        <v>5081563</v>
      </c>
      <c r="L34" s="475">
        <v>35951</v>
      </c>
      <c r="M34" s="475">
        <v>37816</v>
      </c>
      <c r="N34" s="475">
        <v>16262</v>
      </c>
      <c r="O34" s="475">
        <v>63493</v>
      </c>
      <c r="P34" s="475">
        <v>26278</v>
      </c>
      <c r="Q34" s="475">
        <v>439899</v>
      </c>
      <c r="R34" s="475">
        <v>23268</v>
      </c>
      <c r="S34" s="475">
        <v>390083</v>
      </c>
      <c r="T34" s="475">
        <v>7827</v>
      </c>
      <c r="U34" s="475">
        <v>-76349</v>
      </c>
      <c r="V34" s="475">
        <v>10421</v>
      </c>
      <c r="W34" s="475">
        <v>48792</v>
      </c>
      <c r="X34" s="475">
        <v>6410</v>
      </c>
      <c r="Y34" s="475">
        <v>-14296</v>
      </c>
      <c r="Z34" s="475">
        <v>4217</v>
      </c>
      <c r="AA34" s="475">
        <v>53158</v>
      </c>
      <c r="AB34" s="475">
        <v>2933</v>
      </c>
      <c r="AC34" s="475">
        <v>-75889</v>
      </c>
      <c r="AD34" s="475">
        <v>2847</v>
      </c>
      <c r="AE34" s="475">
        <v>88810</v>
      </c>
      <c r="AF34" s="475">
        <v>2006</v>
      </c>
      <c r="AG34" s="475">
        <v>30240</v>
      </c>
      <c r="AH34" s="475">
        <v>497</v>
      </c>
      <c r="AI34" s="475">
        <v>6732</v>
      </c>
      <c r="AJ34" s="475" t="s">
        <v>714</v>
      </c>
      <c r="AK34" s="475">
        <v>22</v>
      </c>
      <c r="AL34" s="475">
        <v>111</v>
      </c>
      <c r="AM34" s="475">
        <v>1892</v>
      </c>
      <c r="AN34" s="475">
        <v>220</v>
      </c>
      <c r="AO34" s="475">
        <v>-2757</v>
      </c>
      <c r="AP34" s="475">
        <v>47416</v>
      </c>
      <c r="AQ34" s="475">
        <v>441511</v>
      </c>
      <c r="AR34" s="475">
        <v>2991</v>
      </c>
      <c r="AS34" s="475">
        <v>65494</v>
      </c>
      <c r="AT34" s="475">
        <v>213278</v>
      </c>
      <c r="AU34" s="475">
        <v>6390617</v>
      </c>
      <c r="AV34" s="475">
        <v>2551</v>
      </c>
      <c r="AW34" s="475">
        <v>8762</v>
      </c>
      <c r="AX34" s="475">
        <v>10951</v>
      </c>
      <c r="AY34" s="475">
        <v>10607</v>
      </c>
      <c r="AZ34" s="475">
        <v>889</v>
      </c>
      <c r="BA34" s="475">
        <v>2039</v>
      </c>
      <c r="BB34" s="475">
        <v>0</v>
      </c>
      <c r="BC34" s="475">
        <v>0</v>
      </c>
      <c r="BD34" s="475">
        <v>21887</v>
      </c>
      <c r="BE34" s="475">
        <v>29003</v>
      </c>
      <c r="BF34" s="475">
        <v>4157</v>
      </c>
      <c r="BG34" s="475">
        <v>15125</v>
      </c>
      <c r="BH34" s="475">
        <v>333</v>
      </c>
      <c r="BI34" s="475">
        <v>2133</v>
      </c>
      <c r="BJ34" s="475">
        <v>554</v>
      </c>
      <c r="BK34" s="475">
        <v>50</v>
      </c>
      <c r="BL34" s="475">
        <v>110</v>
      </c>
      <c r="BM34" s="475">
        <v>536</v>
      </c>
      <c r="BN34" s="475">
        <v>0</v>
      </c>
      <c r="BO34" s="475">
        <v>0</v>
      </c>
      <c r="BP34" s="475">
        <v>36054</v>
      </c>
      <c r="BQ34" s="475">
        <v>71991</v>
      </c>
      <c r="BR34" s="475">
        <v>44467</v>
      </c>
      <c r="BS34" s="475">
        <v>305329</v>
      </c>
      <c r="BT34" s="475">
        <v>12701</v>
      </c>
      <c r="BU34" s="475">
        <v>81456</v>
      </c>
      <c r="BV34" s="475">
        <v>6690</v>
      </c>
      <c r="BW34" s="475">
        <v>110185</v>
      </c>
      <c r="BX34" s="475">
        <v>10693</v>
      </c>
      <c r="BY34" s="475">
        <v>36551</v>
      </c>
      <c r="BZ34" s="475">
        <v>8481</v>
      </c>
      <c r="CA34" s="475">
        <v>48232</v>
      </c>
      <c r="CB34" s="475">
        <v>6258</v>
      </c>
      <c r="CC34" s="475">
        <v>3372</v>
      </c>
      <c r="CD34" s="475">
        <v>1048</v>
      </c>
      <c r="CE34" s="475">
        <v>714</v>
      </c>
      <c r="CF34" s="475">
        <v>10970</v>
      </c>
      <c r="CG34" s="475">
        <v>88869</v>
      </c>
      <c r="CH34" s="475">
        <v>7766</v>
      </c>
      <c r="CI34" s="475">
        <v>101897</v>
      </c>
      <c r="CJ34" s="475">
        <v>1491</v>
      </c>
      <c r="CK34" s="475">
        <v>4836</v>
      </c>
      <c r="CL34" s="475">
        <v>7821</v>
      </c>
      <c r="CM34" s="475">
        <v>106734</v>
      </c>
      <c r="CN34" s="475">
        <v>7178</v>
      </c>
      <c r="CO34" s="475">
        <v>18986</v>
      </c>
      <c r="CP34" s="475">
        <v>5077</v>
      </c>
      <c r="CQ34" s="475">
        <v>3715</v>
      </c>
      <c r="CR34" s="475" t="s">
        <v>714</v>
      </c>
      <c r="CS34" s="475">
        <v>121</v>
      </c>
      <c r="CT34" s="475">
        <v>7953</v>
      </c>
      <c r="CU34" s="475">
        <v>22823</v>
      </c>
      <c r="CV34" s="475">
        <v>0</v>
      </c>
      <c r="CW34" s="475">
        <v>0</v>
      </c>
      <c r="CX34" s="475">
        <v>6828</v>
      </c>
      <c r="CY34" s="475">
        <v>45571</v>
      </c>
      <c r="CZ34" s="475">
        <v>10970</v>
      </c>
      <c r="DA34" s="475">
        <v>311155</v>
      </c>
      <c r="DB34" s="475">
        <v>111</v>
      </c>
      <c r="DC34" s="475">
        <v>534</v>
      </c>
      <c r="DD34" s="475">
        <v>25561</v>
      </c>
      <c r="DE34" s="475">
        <v>509664</v>
      </c>
      <c r="DF34" s="475">
        <v>187717</v>
      </c>
      <c r="DG34" s="475">
        <v>1185761</v>
      </c>
      <c r="DH34" s="475">
        <v>246479</v>
      </c>
      <c r="DI34" s="475">
        <v>30070</v>
      </c>
      <c r="DJ34" s="475">
        <v>135765</v>
      </c>
      <c r="DK34" s="475">
        <v>51319</v>
      </c>
      <c r="DL34" s="475">
        <v>38055</v>
      </c>
      <c r="DM34" s="475">
        <v>47</v>
      </c>
      <c r="DN34" s="475">
        <v>209466</v>
      </c>
      <c r="DO34" s="475">
        <v>86027</v>
      </c>
      <c r="DP34" s="475">
        <v>556</v>
      </c>
      <c r="DQ34" s="475">
        <v>117</v>
      </c>
      <c r="DR34" s="475">
        <v>55305</v>
      </c>
      <c r="DS34" s="475">
        <v>3434</v>
      </c>
      <c r="DT34" s="475">
        <v>54639</v>
      </c>
      <c r="DU34" s="475">
        <v>3287</v>
      </c>
      <c r="DV34" s="475">
        <v>0</v>
      </c>
      <c r="DW34" s="475">
        <v>0</v>
      </c>
      <c r="DX34" s="475">
        <v>0</v>
      </c>
      <c r="DY34" s="475">
        <v>0</v>
      </c>
      <c r="DZ34" s="475">
        <v>0</v>
      </c>
      <c r="EA34" s="475">
        <v>0</v>
      </c>
      <c r="EB34" s="475">
        <v>3999</v>
      </c>
      <c r="EC34" s="475">
        <v>522</v>
      </c>
      <c r="ED34" s="475">
        <v>178499</v>
      </c>
      <c r="EE34" s="475">
        <v>81451</v>
      </c>
      <c r="EF34" s="475">
        <v>1889</v>
      </c>
      <c r="EG34" s="475">
        <v>3396</v>
      </c>
      <c r="EH34" s="475">
        <v>0</v>
      </c>
      <c r="EI34" s="475">
        <v>0</v>
      </c>
      <c r="EJ34" s="475">
        <v>0</v>
      </c>
      <c r="EK34" s="475">
        <v>0</v>
      </c>
      <c r="EL34" s="475">
        <v>177539</v>
      </c>
      <c r="EM34" s="475">
        <v>66714</v>
      </c>
      <c r="EN34" s="475">
        <v>1321</v>
      </c>
      <c r="EO34" s="475">
        <v>3311</v>
      </c>
      <c r="EP34" s="476">
        <v>0</v>
      </c>
      <c r="EQ34" s="476">
        <v>0</v>
      </c>
      <c r="ER34" s="476">
        <v>0</v>
      </c>
      <c r="ES34" s="476">
        <v>0</v>
      </c>
      <c r="ET34" s="476">
        <v>0</v>
      </c>
      <c r="EU34" s="476">
        <v>0</v>
      </c>
    </row>
    <row r="35" spans="1:151" ht="15.5">
      <c r="A35" s="474" t="s">
        <v>745</v>
      </c>
      <c r="B35" s="475">
        <v>207753</v>
      </c>
      <c r="C35" s="475">
        <v>111436</v>
      </c>
      <c r="D35" s="475">
        <v>6369392</v>
      </c>
      <c r="E35" s="475">
        <v>-240682</v>
      </c>
      <c r="F35" s="475">
        <v>6128710</v>
      </c>
      <c r="G35" s="475">
        <v>1599507</v>
      </c>
      <c r="H35" s="475">
        <v>4582722</v>
      </c>
      <c r="I35" s="475">
        <v>35422</v>
      </c>
      <c r="J35" s="475">
        <v>179364</v>
      </c>
      <c r="K35" s="475">
        <v>5182004</v>
      </c>
      <c r="L35" s="475">
        <v>37023</v>
      </c>
      <c r="M35" s="475">
        <v>38469</v>
      </c>
      <c r="N35" s="475">
        <v>17039</v>
      </c>
      <c r="O35" s="475">
        <v>63804</v>
      </c>
      <c r="P35" s="475">
        <v>23124</v>
      </c>
      <c r="Q35" s="475">
        <v>407045</v>
      </c>
      <c r="R35" s="475">
        <v>21538</v>
      </c>
      <c r="S35" s="475">
        <v>379276</v>
      </c>
      <c r="T35" s="475">
        <v>6899</v>
      </c>
      <c r="U35" s="475">
        <v>-63960</v>
      </c>
      <c r="V35" s="475">
        <v>8125</v>
      </c>
      <c r="W35" s="475">
        <v>26799</v>
      </c>
      <c r="X35" s="475">
        <v>7549</v>
      </c>
      <c r="Y35" s="475">
        <v>-18735</v>
      </c>
      <c r="Z35" s="475">
        <v>4810</v>
      </c>
      <c r="AA35" s="475">
        <v>54116</v>
      </c>
      <c r="AB35" s="475">
        <v>2987</v>
      </c>
      <c r="AC35" s="475">
        <v>-27662</v>
      </c>
      <c r="AD35" s="475">
        <v>2411</v>
      </c>
      <c r="AE35" s="475">
        <v>32821</v>
      </c>
      <c r="AF35" s="475">
        <v>1903</v>
      </c>
      <c r="AG35" s="475">
        <v>21196</v>
      </c>
      <c r="AH35" s="475">
        <v>560</v>
      </c>
      <c r="AI35" s="475">
        <v>2617</v>
      </c>
      <c r="AJ35" s="475">
        <v>55</v>
      </c>
      <c r="AK35" s="475">
        <v>66</v>
      </c>
      <c r="AL35" s="475">
        <v>111</v>
      </c>
      <c r="AM35" s="475">
        <v>5129</v>
      </c>
      <c r="AN35" s="475">
        <v>0</v>
      </c>
      <c r="AO35" s="475">
        <v>0</v>
      </c>
      <c r="AP35" s="475">
        <v>47118</v>
      </c>
      <c r="AQ35" s="475">
        <v>430128</v>
      </c>
      <c r="AR35" s="475">
        <v>2972</v>
      </c>
      <c r="AS35" s="475">
        <v>53566</v>
      </c>
      <c r="AT35" s="475">
        <v>207753</v>
      </c>
      <c r="AU35" s="475">
        <v>6437027</v>
      </c>
      <c r="AV35" s="475">
        <v>2163</v>
      </c>
      <c r="AW35" s="475">
        <v>9157</v>
      </c>
      <c r="AX35" s="475">
        <v>11273</v>
      </c>
      <c r="AY35" s="475">
        <v>8303</v>
      </c>
      <c r="AZ35" s="475">
        <v>778</v>
      </c>
      <c r="BA35" s="475">
        <v>1477</v>
      </c>
      <c r="BB35" s="475">
        <v>0</v>
      </c>
      <c r="BC35" s="475">
        <v>0</v>
      </c>
      <c r="BD35" s="475">
        <v>21216</v>
      </c>
      <c r="BE35" s="475">
        <v>27796</v>
      </c>
      <c r="BF35" s="475">
        <v>3819</v>
      </c>
      <c r="BG35" s="475">
        <v>11829</v>
      </c>
      <c r="BH35" s="475">
        <v>388</v>
      </c>
      <c r="BI35" s="475">
        <v>4554</v>
      </c>
      <c r="BJ35" s="475">
        <v>443</v>
      </c>
      <c r="BK35" s="475">
        <v>100</v>
      </c>
      <c r="BL35" s="475">
        <v>111</v>
      </c>
      <c r="BM35" s="475">
        <v>2223</v>
      </c>
      <c r="BN35" s="475">
        <v>0</v>
      </c>
      <c r="BO35" s="475">
        <v>0</v>
      </c>
      <c r="BP35" s="475">
        <v>37104</v>
      </c>
      <c r="BQ35" s="475">
        <v>68602</v>
      </c>
      <c r="BR35" s="475">
        <v>43092</v>
      </c>
      <c r="BS35" s="475">
        <v>300178</v>
      </c>
      <c r="BT35" s="475">
        <v>11587</v>
      </c>
      <c r="BU35" s="475">
        <v>59497</v>
      </c>
      <c r="BV35" s="475">
        <v>4756</v>
      </c>
      <c r="BW35" s="475">
        <v>80596</v>
      </c>
      <c r="BX35" s="475">
        <v>8692</v>
      </c>
      <c r="BY35" s="475">
        <v>12480</v>
      </c>
      <c r="BZ35" s="475">
        <v>8138</v>
      </c>
      <c r="CA35" s="475">
        <v>45708</v>
      </c>
      <c r="CB35" s="475">
        <v>5474</v>
      </c>
      <c r="CC35" s="475">
        <v>3373</v>
      </c>
      <c r="CD35" s="475">
        <v>723</v>
      </c>
      <c r="CE35" s="475">
        <v>623</v>
      </c>
      <c r="CF35" s="475">
        <v>9089</v>
      </c>
      <c r="CG35" s="475">
        <v>62184</v>
      </c>
      <c r="CH35" s="475">
        <v>7203</v>
      </c>
      <c r="CI35" s="475">
        <v>87532</v>
      </c>
      <c r="CJ35" s="475">
        <v>721</v>
      </c>
      <c r="CK35" s="475">
        <v>108</v>
      </c>
      <c r="CL35" s="475">
        <v>7204</v>
      </c>
      <c r="CM35" s="475">
        <v>87639</v>
      </c>
      <c r="CN35" s="475">
        <v>6015</v>
      </c>
      <c r="CO35" s="475">
        <v>14994</v>
      </c>
      <c r="CP35" s="475">
        <v>3638</v>
      </c>
      <c r="CQ35" s="475">
        <v>2595</v>
      </c>
      <c r="CR35" s="475">
        <v>554</v>
      </c>
      <c r="CS35" s="475">
        <v>406</v>
      </c>
      <c r="CT35" s="475">
        <v>6511</v>
      </c>
      <c r="CU35" s="475">
        <v>17995</v>
      </c>
      <c r="CV35" s="475">
        <v>0</v>
      </c>
      <c r="CW35" s="475">
        <v>0</v>
      </c>
      <c r="CX35" s="475">
        <v>5540</v>
      </c>
      <c r="CY35" s="475">
        <v>29466</v>
      </c>
      <c r="CZ35" s="475">
        <v>9144</v>
      </c>
      <c r="DA35" s="475">
        <v>249111</v>
      </c>
      <c r="DB35" s="475">
        <v>0</v>
      </c>
      <c r="DC35" s="475">
        <v>0</v>
      </c>
      <c r="DD35" s="475">
        <v>21912</v>
      </c>
      <c r="DE35" s="475">
        <v>412461</v>
      </c>
      <c r="DF35" s="475">
        <v>185841</v>
      </c>
      <c r="DG35" s="475">
        <v>1187047</v>
      </c>
      <c r="DH35" s="475">
        <v>243659</v>
      </c>
      <c r="DI35" s="475">
        <v>29726</v>
      </c>
      <c r="DJ35" s="475">
        <v>130073</v>
      </c>
      <c r="DK35" s="475">
        <v>49168</v>
      </c>
      <c r="DL35" s="475">
        <v>36981</v>
      </c>
      <c r="DM35" s="475">
        <v>74</v>
      </c>
      <c r="DN35" s="475">
        <v>204194</v>
      </c>
      <c r="DO35" s="475">
        <v>83402</v>
      </c>
      <c r="DP35" s="475">
        <v>441</v>
      </c>
      <c r="DQ35" s="475">
        <v>16</v>
      </c>
      <c r="DR35" s="475">
        <v>52854</v>
      </c>
      <c r="DS35" s="475">
        <v>3180</v>
      </c>
      <c r="DT35" s="475">
        <v>52468</v>
      </c>
      <c r="DU35" s="475">
        <v>3150</v>
      </c>
      <c r="DV35" s="475">
        <v>0</v>
      </c>
      <c r="DW35" s="475">
        <v>0</v>
      </c>
      <c r="DX35" s="475">
        <v>0</v>
      </c>
      <c r="DY35" s="475">
        <v>0</v>
      </c>
      <c r="DZ35" s="475">
        <v>0</v>
      </c>
      <c r="EA35" s="475">
        <v>0</v>
      </c>
      <c r="EB35" s="475">
        <v>3555</v>
      </c>
      <c r="EC35" s="475">
        <v>260</v>
      </c>
      <c r="ED35" s="475">
        <v>177987</v>
      </c>
      <c r="EE35" s="475">
        <v>84718</v>
      </c>
      <c r="EF35" s="475">
        <v>2650</v>
      </c>
      <c r="EG35" s="475">
        <v>2402</v>
      </c>
      <c r="EH35" s="475">
        <v>0</v>
      </c>
      <c r="EI35" s="475">
        <v>0</v>
      </c>
      <c r="EJ35" s="475">
        <v>111</v>
      </c>
      <c r="EK35" s="475">
        <v>1</v>
      </c>
      <c r="EL35" s="475">
        <v>170067</v>
      </c>
      <c r="EM35" s="475">
        <v>59460</v>
      </c>
      <c r="EN35" s="475">
        <v>1438</v>
      </c>
      <c r="EO35" s="475">
        <v>760</v>
      </c>
      <c r="EP35" s="476">
        <v>0</v>
      </c>
      <c r="EQ35" s="476">
        <v>0</v>
      </c>
      <c r="ER35" s="476">
        <v>0</v>
      </c>
      <c r="ES35" s="476">
        <v>0</v>
      </c>
      <c r="ET35" s="476">
        <v>0</v>
      </c>
      <c r="EU35" s="476">
        <v>0</v>
      </c>
    </row>
    <row r="36" spans="1:151" ht="15.5">
      <c r="A36" s="474" t="s">
        <v>746</v>
      </c>
      <c r="B36" s="475">
        <v>199104</v>
      </c>
      <c r="C36" s="475">
        <v>107610</v>
      </c>
      <c r="D36" s="475">
        <v>6349957</v>
      </c>
      <c r="E36" s="475">
        <v>-279957</v>
      </c>
      <c r="F36" s="475">
        <v>6070000</v>
      </c>
      <c r="G36" s="475">
        <v>1605341</v>
      </c>
      <c r="H36" s="475">
        <v>4536919</v>
      </c>
      <c r="I36" s="475">
        <v>35962</v>
      </c>
      <c r="J36" s="475">
        <v>169500</v>
      </c>
      <c r="K36" s="475">
        <v>5059141</v>
      </c>
      <c r="L36" s="475">
        <v>37553</v>
      </c>
      <c r="M36" s="475">
        <v>38704</v>
      </c>
      <c r="N36" s="475">
        <v>15417</v>
      </c>
      <c r="O36" s="475">
        <v>59723</v>
      </c>
      <c r="P36" s="475">
        <v>22884</v>
      </c>
      <c r="Q36" s="475">
        <v>394802</v>
      </c>
      <c r="R36" s="475">
        <v>22847</v>
      </c>
      <c r="S36" s="475">
        <v>422653</v>
      </c>
      <c r="T36" s="475">
        <v>7146</v>
      </c>
      <c r="U36" s="475">
        <v>-56262</v>
      </c>
      <c r="V36" s="475">
        <v>8915</v>
      </c>
      <c r="W36" s="475">
        <v>53898</v>
      </c>
      <c r="X36" s="475">
        <v>5603</v>
      </c>
      <c r="Y36" s="475">
        <v>-14329</v>
      </c>
      <c r="Z36" s="475">
        <v>4163</v>
      </c>
      <c r="AA36" s="475">
        <v>37442</v>
      </c>
      <c r="AB36" s="475">
        <v>2008</v>
      </c>
      <c r="AC36" s="475">
        <v>-22583</v>
      </c>
      <c r="AD36" s="475">
        <v>3301</v>
      </c>
      <c r="AE36" s="475">
        <v>59667</v>
      </c>
      <c r="AF36" s="475">
        <v>1817</v>
      </c>
      <c r="AG36" s="475">
        <v>53635</v>
      </c>
      <c r="AH36" s="475">
        <v>716</v>
      </c>
      <c r="AI36" s="475">
        <v>10125</v>
      </c>
      <c r="AJ36" s="475">
        <v>0</v>
      </c>
      <c r="AK36" s="475">
        <v>0</v>
      </c>
      <c r="AL36" s="475">
        <v>275</v>
      </c>
      <c r="AM36" s="475">
        <v>3972</v>
      </c>
      <c r="AN36" s="475">
        <v>166</v>
      </c>
      <c r="AO36" s="475">
        <v>-1942</v>
      </c>
      <c r="AP36" s="475">
        <v>44965</v>
      </c>
      <c r="AQ36" s="475">
        <v>483811</v>
      </c>
      <c r="AR36" s="475">
        <v>2711</v>
      </c>
      <c r="AS36" s="475">
        <v>45003</v>
      </c>
      <c r="AT36" s="475">
        <v>199104</v>
      </c>
      <c r="AU36" s="475">
        <v>6430186</v>
      </c>
      <c r="AV36" s="475">
        <v>3079</v>
      </c>
      <c r="AW36" s="475">
        <v>10750</v>
      </c>
      <c r="AX36" s="475">
        <v>11271</v>
      </c>
      <c r="AY36" s="475">
        <v>10266</v>
      </c>
      <c r="AZ36" s="475">
        <v>1055</v>
      </c>
      <c r="BA36" s="475">
        <v>2266</v>
      </c>
      <c r="BB36" s="475">
        <v>111</v>
      </c>
      <c r="BC36" s="475">
        <v>341</v>
      </c>
      <c r="BD36" s="475">
        <v>22144</v>
      </c>
      <c r="BE36" s="475">
        <v>30753</v>
      </c>
      <c r="BF36" s="475">
        <v>4259</v>
      </c>
      <c r="BG36" s="475">
        <v>14564</v>
      </c>
      <c r="BH36" s="475">
        <v>388</v>
      </c>
      <c r="BI36" s="475">
        <v>2251</v>
      </c>
      <c r="BJ36" s="475">
        <v>722</v>
      </c>
      <c r="BK36" s="475">
        <v>76</v>
      </c>
      <c r="BL36" s="475">
        <v>166</v>
      </c>
      <c r="BM36" s="475">
        <v>370</v>
      </c>
      <c r="BN36" s="475">
        <v>0</v>
      </c>
      <c r="BO36" s="475">
        <v>0</v>
      </c>
      <c r="BP36" s="475">
        <v>37126</v>
      </c>
      <c r="BQ36" s="475">
        <v>76724</v>
      </c>
      <c r="BR36" s="475">
        <v>42034</v>
      </c>
      <c r="BS36" s="475">
        <v>333994</v>
      </c>
      <c r="BT36" s="475">
        <v>10224</v>
      </c>
      <c r="BU36" s="475">
        <v>54037</v>
      </c>
      <c r="BV36" s="475">
        <v>5064</v>
      </c>
      <c r="BW36" s="475">
        <v>105039</v>
      </c>
      <c r="BX36" s="475">
        <v>8854</v>
      </c>
      <c r="BY36" s="475">
        <v>13170</v>
      </c>
      <c r="BZ36" s="475">
        <v>7635</v>
      </c>
      <c r="CA36" s="475">
        <v>43921</v>
      </c>
      <c r="CB36" s="475">
        <v>4354</v>
      </c>
      <c r="CC36" s="475">
        <v>2634</v>
      </c>
      <c r="CD36" s="475">
        <v>993</v>
      </c>
      <c r="CE36" s="475">
        <v>1629</v>
      </c>
      <c r="CF36" s="475">
        <v>9019</v>
      </c>
      <c r="CG36" s="475">
        <v>61355</v>
      </c>
      <c r="CH36" s="475">
        <v>6867</v>
      </c>
      <c r="CI36" s="475">
        <v>95715</v>
      </c>
      <c r="CJ36" s="475">
        <v>673</v>
      </c>
      <c r="CK36" s="475">
        <v>1590</v>
      </c>
      <c r="CL36" s="475">
        <v>7035</v>
      </c>
      <c r="CM36" s="475">
        <v>97305</v>
      </c>
      <c r="CN36" s="475">
        <v>5281</v>
      </c>
      <c r="CO36" s="475">
        <v>14149</v>
      </c>
      <c r="CP36" s="475">
        <v>3793</v>
      </c>
      <c r="CQ36" s="475">
        <v>3014</v>
      </c>
      <c r="CR36" s="475">
        <v>55</v>
      </c>
      <c r="CS36" s="475">
        <v>147</v>
      </c>
      <c r="CT36" s="475">
        <v>6108</v>
      </c>
      <c r="CU36" s="475">
        <v>17310</v>
      </c>
      <c r="CV36" s="475">
        <v>0</v>
      </c>
      <c r="CW36" s="475">
        <v>0</v>
      </c>
      <c r="CX36" s="475">
        <v>5979</v>
      </c>
      <c r="CY36" s="475">
        <v>29864</v>
      </c>
      <c r="CZ36" s="475">
        <v>9240</v>
      </c>
      <c r="DA36" s="475">
        <v>281812</v>
      </c>
      <c r="DB36" s="475">
        <v>55</v>
      </c>
      <c r="DC36" s="475">
        <v>34</v>
      </c>
      <c r="DD36" s="475">
        <v>23660</v>
      </c>
      <c r="DE36" s="475">
        <v>475244</v>
      </c>
      <c r="DF36" s="475">
        <v>175221</v>
      </c>
      <c r="DG36" s="475">
        <v>1130097</v>
      </c>
      <c r="DH36" s="475">
        <v>238308</v>
      </c>
      <c r="DI36" s="475">
        <v>29074</v>
      </c>
      <c r="DJ36" s="475">
        <v>132698</v>
      </c>
      <c r="DK36" s="475">
        <v>50160</v>
      </c>
      <c r="DL36" s="475">
        <v>37157</v>
      </c>
      <c r="DM36" s="475">
        <v>40</v>
      </c>
      <c r="DN36" s="475">
        <v>195983</v>
      </c>
      <c r="DO36" s="475">
        <v>83760</v>
      </c>
      <c r="DP36" s="475">
        <v>443</v>
      </c>
      <c r="DQ36" s="475">
        <v>94</v>
      </c>
      <c r="DR36" s="475">
        <v>54411</v>
      </c>
      <c r="DS36" s="475">
        <v>3260</v>
      </c>
      <c r="DT36" s="475">
        <v>53633</v>
      </c>
      <c r="DU36" s="475">
        <v>3084</v>
      </c>
      <c r="DV36" s="475">
        <v>0</v>
      </c>
      <c r="DW36" s="475">
        <v>0</v>
      </c>
      <c r="DX36" s="475">
        <v>0</v>
      </c>
      <c r="DY36" s="475">
        <v>0</v>
      </c>
      <c r="DZ36" s="475">
        <v>0</v>
      </c>
      <c r="EA36" s="475">
        <v>0</v>
      </c>
      <c r="EB36" s="475">
        <v>3048</v>
      </c>
      <c r="EC36" s="475">
        <v>302</v>
      </c>
      <c r="ED36" s="475">
        <v>167423</v>
      </c>
      <c r="EE36" s="475">
        <v>86678</v>
      </c>
      <c r="EF36" s="475">
        <v>2516</v>
      </c>
      <c r="EG36" s="475">
        <v>3987</v>
      </c>
      <c r="EH36" s="475">
        <v>55</v>
      </c>
      <c r="EI36" s="475">
        <v>17</v>
      </c>
      <c r="EJ36" s="475">
        <v>333</v>
      </c>
      <c r="EK36" s="475">
        <v>12</v>
      </c>
      <c r="EL36" s="475">
        <v>156043</v>
      </c>
      <c r="EM36" s="475">
        <v>58660</v>
      </c>
      <c r="EN36" s="475">
        <v>1685</v>
      </c>
      <c r="EO36" s="475">
        <v>3424</v>
      </c>
      <c r="EP36" s="476">
        <v>0</v>
      </c>
      <c r="EQ36" s="476">
        <v>0</v>
      </c>
      <c r="ER36" s="476">
        <v>0</v>
      </c>
      <c r="ES36" s="476">
        <v>0</v>
      </c>
      <c r="ET36" s="476">
        <v>0</v>
      </c>
      <c r="EU36" s="476">
        <v>0</v>
      </c>
    </row>
    <row r="37" spans="1:151" ht="15.5">
      <c r="A37" s="474" t="s">
        <v>747</v>
      </c>
      <c r="B37" s="475">
        <v>204036</v>
      </c>
      <c r="C37" s="475">
        <v>117028</v>
      </c>
      <c r="D37" s="475">
        <v>6731517</v>
      </c>
      <c r="E37" s="475">
        <v>-306910</v>
      </c>
      <c r="F37" s="475">
        <v>6424606</v>
      </c>
      <c r="G37" s="475">
        <v>1604707</v>
      </c>
      <c r="H37" s="475">
        <v>4853968</v>
      </c>
      <c r="I37" s="475">
        <v>42523</v>
      </c>
      <c r="J37" s="475">
        <v>175238</v>
      </c>
      <c r="K37" s="475">
        <v>5391694</v>
      </c>
      <c r="L37" s="475">
        <v>38919</v>
      </c>
      <c r="M37" s="475">
        <v>49699</v>
      </c>
      <c r="N37" s="475">
        <v>17271</v>
      </c>
      <c r="O37" s="475">
        <v>68700</v>
      </c>
      <c r="P37" s="475">
        <v>25054</v>
      </c>
      <c r="Q37" s="475">
        <v>464687</v>
      </c>
      <c r="R37" s="475">
        <v>23305</v>
      </c>
      <c r="S37" s="475">
        <v>370145</v>
      </c>
      <c r="T37" s="475">
        <v>7051</v>
      </c>
      <c r="U37" s="475">
        <v>-52525</v>
      </c>
      <c r="V37" s="475">
        <v>10318</v>
      </c>
      <c r="W37" s="475">
        <v>59296</v>
      </c>
      <c r="X37" s="475">
        <v>6199</v>
      </c>
      <c r="Y37" s="475">
        <v>-12931</v>
      </c>
      <c r="Z37" s="475">
        <v>5388</v>
      </c>
      <c r="AA37" s="475">
        <v>51824</v>
      </c>
      <c r="AB37" s="475">
        <v>3203</v>
      </c>
      <c r="AC37" s="475">
        <v>-44339</v>
      </c>
      <c r="AD37" s="475">
        <v>3172</v>
      </c>
      <c r="AE37" s="475">
        <v>46707</v>
      </c>
      <c r="AF37" s="475">
        <v>1842</v>
      </c>
      <c r="AG37" s="475">
        <v>46584</v>
      </c>
      <c r="AH37" s="475">
        <v>276</v>
      </c>
      <c r="AI37" s="475">
        <v>3392</v>
      </c>
      <c r="AJ37" s="475">
        <v>55</v>
      </c>
      <c r="AK37" s="475">
        <v>1177</v>
      </c>
      <c r="AL37" s="475">
        <v>111</v>
      </c>
      <c r="AM37" s="475">
        <v>10073</v>
      </c>
      <c r="AN37" s="475">
        <v>331</v>
      </c>
      <c r="AO37" s="475">
        <v>-5125</v>
      </c>
      <c r="AP37" s="475">
        <v>48232</v>
      </c>
      <c r="AQ37" s="475">
        <v>502006</v>
      </c>
      <c r="AR37" s="475">
        <v>3031</v>
      </c>
      <c r="AS37" s="475">
        <v>51805</v>
      </c>
      <c r="AT37" s="475">
        <v>204036</v>
      </c>
      <c r="AU37" s="475">
        <v>6806086</v>
      </c>
      <c r="AV37" s="475">
        <v>2327</v>
      </c>
      <c r="AW37" s="475">
        <v>9624</v>
      </c>
      <c r="AX37" s="475">
        <v>11155</v>
      </c>
      <c r="AY37" s="475">
        <v>9157</v>
      </c>
      <c r="AZ37" s="475">
        <v>499</v>
      </c>
      <c r="BA37" s="475">
        <v>170</v>
      </c>
      <c r="BB37" s="475">
        <v>0</v>
      </c>
      <c r="BC37" s="475">
        <v>0</v>
      </c>
      <c r="BD37" s="475">
        <v>23025</v>
      </c>
      <c r="BE37" s="475">
        <v>27584</v>
      </c>
      <c r="BF37" s="475">
        <v>3761</v>
      </c>
      <c r="BG37" s="475">
        <v>17792</v>
      </c>
      <c r="BH37" s="475">
        <v>220</v>
      </c>
      <c r="BI37" s="475">
        <v>592</v>
      </c>
      <c r="BJ37" s="475">
        <v>219</v>
      </c>
      <c r="BK37" s="475">
        <v>313</v>
      </c>
      <c r="BL37" s="475">
        <v>220</v>
      </c>
      <c r="BM37" s="475">
        <v>3030</v>
      </c>
      <c r="BN37" s="475">
        <v>0</v>
      </c>
      <c r="BO37" s="475">
        <v>0</v>
      </c>
      <c r="BP37" s="475">
        <v>37281</v>
      </c>
      <c r="BQ37" s="475">
        <v>75525</v>
      </c>
      <c r="BR37" s="475">
        <v>44625</v>
      </c>
      <c r="BS37" s="475">
        <v>357135</v>
      </c>
      <c r="BT37" s="475">
        <v>11403</v>
      </c>
      <c r="BU37" s="475">
        <v>50225</v>
      </c>
      <c r="BV37" s="475">
        <v>5633</v>
      </c>
      <c r="BW37" s="475">
        <v>84672</v>
      </c>
      <c r="BX37" s="475">
        <v>10394</v>
      </c>
      <c r="BY37" s="475">
        <v>22157</v>
      </c>
      <c r="BZ37" s="475">
        <v>8499</v>
      </c>
      <c r="CA37" s="475">
        <v>47307</v>
      </c>
      <c r="CB37" s="475">
        <v>5903</v>
      </c>
      <c r="CC37" s="475">
        <v>2924</v>
      </c>
      <c r="CD37" s="475">
        <v>1101</v>
      </c>
      <c r="CE37" s="475">
        <v>1067</v>
      </c>
      <c r="CF37" s="475">
        <v>10724</v>
      </c>
      <c r="CG37" s="475">
        <v>73454</v>
      </c>
      <c r="CH37" s="475">
        <v>7567</v>
      </c>
      <c r="CI37" s="475">
        <v>99508</v>
      </c>
      <c r="CJ37" s="475">
        <v>730</v>
      </c>
      <c r="CK37" s="475">
        <v>1215</v>
      </c>
      <c r="CL37" s="475">
        <v>7744</v>
      </c>
      <c r="CM37" s="475">
        <v>100723</v>
      </c>
      <c r="CN37" s="475">
        <v>6888</v>
      </c>
      <c r="CO37" s="475">
        <v>17093</v>
      </c>
      <c r="CP37" s="475">
        <v>3633</v>
      </c>
      <c r="CQ37" s="475">
        <v>5222</v>
      </c>
      <c r="CR37" s="475">
        <v>164</v>
      </c>
      <c r="CS37" s="475">
        <v>693</v>
      </c>
      <c r="CT37" s="475">
        <v>7881</v>
      </c>
      <c r="CU37" s="475">
        <v>23008</v>
      </c>
      <c r="CV37" s="475">
        <v>0</v>
      </c>
      <c r="CW37" s="475">
        <v>0</v>
      </c>
      <c r="CX37" s="475">
        <v>6983</v>
      </c>
      <c r="CY37" s="475">
        <v>42696</v>
      </c>
      <c r="CZ37" s="475">
        <v>10945</v>
      </c>
      <c r="DA37" s="475">
        <v>282957</v>
      </c>
      <c r="DB37" s="475">
        <v>55</v>
      </c>
      <c r="DC37" s="475">
        <v>10</v>
      </c>
      <c r="DD37" s="475">
        <v>25443</v>
      </c>
      <c r="DE37" s="475">
        <v>460243</v>
      </c>
      <c r="DF37" s="475">
        <v>178593</v>
      </c>
      <c r="DG37" s="475">
        <v>1144464</v>
      </c>
      <c r="DH37" s="475">
        <v>242205</v>
      </c>
      <c r="DI37" s="475">
        <v>29549</v>
      </c>
      <c r="DJ37" s="475">
        <v>125638</v>
      </c>
      <c r="DK37" s="475">
        <v>47491</v>
      </c>
      <c r="DL37" s="475">
        <v>39409</v>
      </c>
      <c r="DM37" s="475">
        <v>27</v>
      </c>
      <c r="DN37" s="475">
        <v>201146</v>
      </c>
      <c r="DO37" s="475">
        <v>81847</v>
      </c>
      <c r="DP37" s="475">
        <v>388</v>
      </c>
      <c r="DQ37" s="475">
        <v>87</v>
      </c>
      <c r="DR37" s="475">
        <v>58387</v>
      </c>
      <c r="DS37" s="475">
        <v>3537</v>
      </c>
      <c r="DT37" s="475">
        <v>57611</v>
      </c>
      <c r="DU37" s="475">
        <v>3424</v>
      </c>
      <c r="DV37" s="475">
        <v>0</v>
      </c>
      <c r="DW37" s="475">
        <v>0</v>
      </c>
      <c r="DX37" s="475">
        <v>0</v>
      </c>
      <c r="DY37" s="475">
        <v>0</v>
      </c>
      <c r="DZ37" s="475">
        <v>0</v>
      </c>
      <c r="EA37" s="475">
        <v>0</v>
      </c>
      <c r="EB37" s="475">
        <v>4882</v>
      </c>
      <c r="EC37" s="475">
        <v>547</v>
      </c>
      <c r="ED37" s="475">
        <v>173919</v>
      </c>
      <c r="EE37" s="475">
        <v>94528</v>
      </c>
      <c r="EF37" s="475">
        <v>2868</v>
      </c>
      <c r="EG37" s="475">
        <v>3263</v>
      </c>
      <c r="EH37" s="475">
        <v>0</v>
      </c>
      <c r="EI37" s="475">
        <v>0</v>
      </c>
      <c r="EJ37" s="475">
        <v>445</v>
      </c>
      <c r="EK37" s="475">
        <v>27</v>
      </c>
      <c r="EL37" s="475">
        <v>156945</v>
      </c>
      <c r="EM37" s="475">
        <v>64053</v>
      </c>
      <c r="EN37" s="475">
        <v>1276</v>
      </c>
      <c r="EO37" s="475">
        <v>1023</v>
      </c>
      <c r="EP37" s="476">
        <v>0</v>
      </c>
      <c r="EQ37" s="476">
        <v>0</v>
      </c>
      <c r="ER37" s="476">
        <v>0</v>
      </c>
      <c r="ES37" s="476">
        <v>0</v>
      </c>
      <c r="ET37" s="476">
        <v>0</v>
      </c>
      <c r="EU37" s="476">
        <v>0</v>
      </c>
    </row>
    <row r="38" spans="1:151" ht="15.5">
      <c r="A38" s="474" t="s">
        <v>748</v>
      </c>
      <c r="B38" s="475">
        <v>200515</v>
      </c>
      <c r="C38" s="475">
        <v>109596</v>
      </c>
      <c r="D38" s="475">
        <v>6815088</v>
      </c>
      <c r="E38" s="475">
        <v>-300171</v>
      </c>
      <c r="F38" s="475">
        <v>6514917</v>
      </c>
      <c r="G38" s="475">
        <v>1608672</v>
      </c>
      <c r="H38" s="475">
        <v>4955394</v>
      </c>
      <c r="I38" s="475">
        <v>44690</v>
      </c>
      <c r="J38" s="475">
        <v>173691</v>
      </c>
      <c r="K38" s="475">
        <v>5454451</v>
      </c>
      <c r="L38" s="475">
        <v>38395</v>
      </c>
      <c r="M38" s="475">
        <v>49425</v>
      </c>
      <c r="N38" s="475">
        <v>17714</v>
      </c>
      <c r="O38" s="475">
        <v>56867</v>
      </c>
      <c r="P38" s="475">
        <v>23968</v>
      </c>
      <c r="Q38" s="475">
        <v>445740</v>
      </c>
      <c r="R38" s="475">
        <v>23138</v>
      </c>
      <c r="S38" s="475">
        <v>385257</v>
      </c>
      <c r="T38" s="475">
        <v>7267</v>
      </c>
      <c r="U38" s="475">
        <v>-52029</v>
      </c>
      <c r="V38" s="475">
        <v>9559</v>
      </c>
      <c r="W38" s="475">
        <v>75216</v>
      </c>
      <c r="X38" s="475">
        <v>6176</v>
      </c>
      <c r="Y38" s="475">
        <v>-13008</v>
      </c>
      <c r="Z38" s="475">
        <v>4586</v>
      </c>
      <c r="AA38" s="475">
        <v>52347</v>
      </c>
      <c r="AB38" s="475">
        <v>3422</v>
      </c>
      <c r="AC38" s="475">
        <v>-38534</v>
      </c>
      <c r="AD38" s="475">
        <v>2619</v>
      </c>
      <c r="AE38" s="475">
        <v>51371</v>
      </c>
      <c r="AF38" s="475">
        <v>1890</v>
      </c>
      <c r="AG38" s="475">
        <v>36082</v>
      </c>
      <c r="AH38" s="475">
        <v>331</v>
      </c>
      <c r="AI38" s="475">
        <v>1698</v>
      </c>
      <c r="AJ38" s="475">
        <v>0</v>
      </c>
      <c r="AK38" s="475">
        <v>0</v>
      </c>
      <c r="AL38" s="475">
        <v>0</v>
      </c>
      <c r="AM38" s="475">
        <v>0</v>
      </c>
      <c r="AN38" s="475">
        <v>275</v>
      </c>
      <c r="AO38" s="475">
        <v>-4945</v>
      </c>
      <c r="AP38" s="475">
        <v>46442</v>
      </c>
      <c r="AQ38" s="475">
        <v>544472</v>
      </c>
      <c r="AR38" s="475">
        <v>2377</v>
      </c>
      <c r="AS38" s="475">
        <v>80183</v>
      </c>
      <c r="AT38" s="475">
        <v>200515</v>
      </c>
      <c r="AU38" s="475">
        <v>6892836</v>
      </c>
      <c r="AV38" s="475">
        <v>2883</v>
      </c>
      <c r="AW38" s="475">
        <v>14252</v>
      </c>
      <c r="AX38" s="475">
        <v>11497</v>
      </c>
      <c r="AY38" s="475">
        <v>11371</v>
      </c>
      <c r="AZ38" s="475">
        <v>610</v>
      </c>
      <c r="BA38" s="475">
        <v>1405</v>
      </c>
      <c r="BB38" s="475">
        <v>111</v>
      </c>
      <c r="BC38" s="475">
        <v>56</v>
      </c>
      <c r="BD38" s="475">
        <v>21697</v>
      </c>
      <c r="BE38" s="475">
        <v>27852</v>
      </c>
      <c r="BF38" s="475">
        <v>3926</v>
      </c>
      <c r="BG38" s="475">
        <v>14349</v>
      </c>
      <c r="BH38" s="475">
        <v>166</v>
      </c>
      <c r="BI38" s="475">
        <v>609</v>
      </c>
      <c r="BJ38" s="475">
        <v>496</v>
      </c>
      <c r="BK38" s="475">
        <v>206</v>
      </c>
      <c r="BL38" s="475">
        <v>275</v>
      </c>
      <c r="BM38" s="475">
        <v>1709</v>
      </c>
      <c r="BN38" s="475">
        <v>0</v>
      </c>
      <c r="BO38" s="475">
        <v>0</v>
      </c>
      <c r="BP38" s="475">
        <v>36687</v>
      </c>
      <c r="BQ38" s="475">
        <v>77050</v>
      </c>
      <c r="BR38" s="475">
        <v>42393</v>
      </c>
      <c r="BS38" s="475">
        <v>367038</v>
      </c>
      <c r="BT38" s="475">
        <v>11362</v>
      </c>
      <c r="BU38" s="475">
        <v>66868</v>
      </c>
      <c r="BV38" s="475">
        <v>4782</v>
      </c>
      <c r="BW38" s="475">
        <v>81247</v>
      </c>
      <c r="BX38" s="475">
        <v>10709</v>
      </c>
      <c r="BY38" s="475">
        <v>17335</v>
      </c>
      <c r="BZ38" s="475">
        <v>8605</v>
      </c>
      <c r="CA38" s="475">
        <v>52046</v>
      </c>
      <c r="CB38" s="475">
        <v>7065</v>
      </c>
      <c r="CC38" s="475">
        <v>4766</v>
      </c>
      <c r="CD38" s="475">
        <v>1659</v>
      </c>
      <c r="CE38" s="475">
        <v>2788</v>
      </c>
      <c r="CF38" s="475">
        <v>10764</v>
      </c>
      <c r="CG38" s="475">
        <v>76935</v>
      </c>
      <c r="CH38" s="475">
        <v>7950</v>
      </c>
      <c r="CI38" s="475">
        <v>100485</v>
      </c>
      <c r="CJ38" s="475">
        <v>661</v>
      </c>
      <c r="CK38" s="475">
        <v>775</v>
      </c>
      <c r="CL38" s="475">
        <v>8061</v>
      </c>
      <c r="CM38" s="475">
        <v>101260</v>
      </c>
      <c r="CN38" s="475">
        <v>6891</v>
      </c>
      <c r="CO38" s="475">
        <v>19190</v>
      </c>
      <c r="CP38" s="475">
        <v>5400</v>
      </c>
      <c r="CQ38" s="475">
        <v>6727</v>
      </c>
      <c r="CR38" s="475">
        <v>557</v>
      </c>
      <c r="CS38" s="475">
        <v>1926</v>
      </c>
      <c r="CT38" s="475">
        <v>7943</v>
      </c>
      <c r="CU38" s="475">
        <v>27843</v>
      </c>
      <c r="CV38" s="475">
        <v>0</v>
      </c>
      <c r="CW38" s="475">
        <v>0</v>
      </c>
      <c r="CX38" s="475">
        <v>4704</v>
      </c>
      <c r="CY38" s="475">
        <v>26029</v>
      </c>
      <c r="CZ38" s="475">
        <v>10819</v>
      </c>
      <c r="DA38" s="475">
        <v>284111</v>
      </c>
      <c r="DB38" s="475">
        <v>109</v>
      </c>
      <c r="DC38" s="475">
        <v>-281</v>
      </c>
      <c r="DD38" s="475">
        <v>25541</v>
      </c>
      <c r="DE38" s="475">
        <v>473699</v>
      </c>
      <c r="DF38" s="475">
        <v>174919</v>
      </c>
      <c r="DG38" s="475">
        <v>1134973</v>
      </c>
      <c r="DH38" s="475">
        <v>241393</v>
      </c>
      <c r="DI38" s="475">
        <v>29450</v>
      </c>
      <c r="DJ38" s="475">
        <v>132388</v>
      </c>
      <c r="DK38" s="475">
        <v>50043</v>
      </c>
      <c r="DL38" s="475">
        <v>37297</v>
      </c>
      <c r="DM38" s="475">
        <v>81</v>
      </c>
      <c r="DN38" s="475">
        <v>198124</v>
      </c>
      <c r="DO38" s="475">
        <v>84040</v>
      </c>
      <c r="DP38" s="475">
        <v>607</v>
      </c>
      <c r="DQ38" s="475">
        <v>146</v>
      </c>
      <c r="DR38" s="475">
        <v>57666</v>
      </c>
      <c r="DS38" s="475">
        <v>3737</v>
      </c>
      <c r="DT38" s="475">
        <v>56559</v>
      </c>
      <c r="DU38" s="475">
        <v>3377</v>
      </c>
      <c r="DV38" s="475">
        <v>0</v>
      </c>
      <c r="DW38" s="475">
        <v>0</v>
      </c>
      <c r="DX38" s="475">
        <v>116</v>
      </c>
      <c r="DY38" s="475">
        <v>73</v>
      </c>
      <c r="DZ38" s="475">
        <v>0</v>
      </c>
      <c r="EA38" s="475">
        <v>0</v>
      </c>
      <c r="EB38" s="475">
        <v>4216</v>
      </c>
      <c r="EC38" s="475">
        <v>622</v>
      </c>
      <c r="ED38" s="475">
        <v>174229</v>
      </c>
      <c r="EE38" s="475">
        <v>99887</v>
      </c>
      <c r="EF38" s="475">
        <v>2646</v>
      </c>
      <c r="EG38" s="475">
        <v>5258</v>
      </c>
      <c r="EH38" s="475" t="s">
        <v>714</v>
      </c>
      <c r="EI38" s="475">
        <v>0</v>
      </c>
      <c r="EJ38" s="475">
        <v>667</v>
      </c>
      <c r="EK38" s="475">
        <v>81</v>
      </c>
      <c r="EL38" s="475">
        <v>161295</v>
      </c>
      <c r="EM38" s="475">
        <v>66384</v>
      </c>
      <c r="EN38" s="475">
        <v>1115</v>
      </c>
      <c r="EO38" s="475">
        <v>612</v>
      </c>
      <c r="EP38" s="476">
        <v>0</v>
      </c>
      <c r="EQ38" s="476">
        <v>0</v>
      </c>
      <c r="ER38" s="476">
        <v>0</v>
      </c>
      <c r="ES38" s="476">
        <v>0</v>
      </c>
      <c r="ET38" s="476">
        <v>0</v>
      </c>
      <c r="EU38" s="476">
        <v>0</v>
      </c>
    </row>
    <row r="39" spans="1:151" ht="15.5">
      <c r="A39" s="474" t="s">
        <v>749</v>
      </c>
      <c r="B39" s="475">
        <v>198960</v>
      </c>
      <c r="C39" s="475">
        <v>114648</v>
      </c>
      <c r="D39" s="475">
        <v>6977974</v>
      </c>
      <c r="E39" s="475">
        <v>-311714</v>
      </c>
      <c r="F39" s="475">
        <v>6666260</v>
      </c>
      <c r="G39" s="475">
        <v>2058516</v>
      </c>
      <c r="H39" s="475">
        <v>5124237</v>
      </c>
      <c r="I39" s="475">
        <v>50328</v>
      </c>
      <c r="J39" s="475">
        <v>171267</v>
      </c>
      <c r="K39" s="475">
        <v>5613789</v>
      </c>
      <c r="L39" s="475">
        <v>38207</v>
      </c>
      <c r="M39" s="475">
        <v>42643</v>
      </c>
      <c r="N39" s="475">
        <v>16971</v>
      </c>
      <c r="O39" s="475">
        <v>83174</v>
      </c>
      <c r="P39" s="475">
        <v>23387</v>
      </c>
      <c r="Q39" s="475">
        <v>472061</v>
      </c>
      <c r="R39" s="475">
        <v>19428</v>
      </c>
      <c r="S39" s="475">
        <v>332692</v>
      </c>
      <c r="T39" s="475">
        <v>6827</v>
      </c>
      <c r="U39" s="475">
        <v>-45900</v>
      </c>
      <c r="V39" s="475">
        <v>9556</v>
      </c>
      <c r="W39" s="475">
        <v>49553</v>
      </c>
      <c r="X39" s="475">
        <v>8006</v>
      </c>
      <c r="Y39" s="475">
        <v>-19608</v>
      </c>
      <c r="Z39" s="475">
        <v>5019</v>
      </c>
      <c r="AA39" s="475">
        <v>51290</v>
      </c>
      <c r="AB39" s="475">
        <v>3442</v>
      </c>
      <c r="AC39" s="475">
        <v>-30791</v>
      </c>
      <c r="AD39" s="475">
        <v>3217</v>
      </c>
      <c r="AE39" s="475">
        <v>46042</v>
      </c>
      <c r="AF39" s="475">
        <v>1842</v>
      </c>
      <c r="AG39" s="475">
        <v>29119</v>
      </c>
      <c r="AH39" s="475">
        <v>552</v>
      </c>
      <c r="AI39" s="475">
        <v>6902</v>
      </c>
      <c r="AJ39" s="475">
        <v>0</v>
      </c>
      <c r="AK39" s="475">
        <v>0</v>
      </c>
      <c r="AL39" s="475">
        <v>111</v>
      </c>
      <c r="AM39" s="475">
        <v>596</v>
      </c>
      <c r="AN39" s="475">
        <v>55</v>
      </c>
      <c r="AO39" s="475">
        <v>-260</v>
      </c>
      <c r="AP39" s="475">
        <v>43526</v>
      </c>
      <c r="AQ39" s="475">
        <v>542796</v>
      </c>
      <c r="AR39" s="475">
        <v>2378</v>
      </c>
      <c r="AS39" s="475">
        <v>70042</v>
      </c>
      <c r="AT39" s="475">
        <v>198849</v>
      </c>
      <c r="AU39" s="475">
        <v>7048692</v>
      </c>
      <c r="AV39" s="475">
        <v>3660</v>
      </c>
      <c r="AW39" s="475">
        <v>15019</v>
      </c>
      <c r="AX39" s="475">
        <v>12265</v>
      </c>
      <c r="AY39" s="475">
        <v>10717</v>
      </c>
      <c r="AZ39" s="475">
        <v>1000</v>
      </c>
      <c r="BA39" s="475">
        <v>2129</v>
      </c>
      <c r="BB39" s="475">
        <v>55</v>
      </c>
      <c r="BC39" s="475">
        <v>71</v>
      </c>
      <c r="BD39" s="475">
        <v>20095</v>
      </c>
      <c r="BE39" s="475">
        <v>25042</v>
      </c>
      <c r="BF39" s="475">
        <v>3478</v>
      </c>
      <c r="BG39" s="475">
        <v>12713</v>
      </c>
      <c r="BH39" s="475">
        <v>221</v>
      </c>
      <c r="BI39" s="475">
        <v>1414</v>
      </c>
      <c r="BJ39" s="475">
        <v>439</v>
      </c>
      <c r="BK39" s="475">
        <v>38</v>
      </c>
      <c r="BL39" s="475">
        <v>441</v>
      </c>
      <c r="BM39" s="475">
        <v>3354</v>
      </c>
      <c r="BN39" s="475">
        <v>0</v>
      </c>
      <c r="BO39" s="475">
        <v>0</v>
      </c>
      <c r="BP39" s="475">
        <v>36403</v>
      </c>
      <c r="BQ39" s="475">
        <v>74602</v>
      </c>
      <c r="BR39" s="475">
        <v>39598</v>
      </c>
      <c r="BS39" s="475">
        <v>406750</v>
      </c>
      <c r="BT39" s="475">
        <v>10992</v>
      </c>
      <c r="BU39" s="475">
        <v>95037</v>
      </c>
      <c r="BV39" s="475">
        <v>5131</v>
      </c>
      <c r="BW39" s="475">
        <v>56917</v>
      </c>
      <c r="BX39" s="475">
        <v>10672</v>
      </c>
      <c r="BY39" s="475">
        <v>16161</v>
      </c>
      <c r="BZ39" s="475">
        <v>7966</v>
      </c>
      <c r="CA39" s="475">
        <v>40922</v>
      </c>
      <c r="CB39" s="475">
        <v>7286</v>
      </c>
      <c r="CC39" s="475">
        <v>4303</v>
      </c>
      <c r="CD39" s="475">
        <v>998</v>
      </c>
      <c r="CE39" s="475">
        <v>1900</v>
      </c>
      <c r="CF39" s="475">
        <v>10792</v>
      </c>
      <c r="CG39" s="475">
        <v>63286</v>
      </c>
      <c r="CH39" s="475">
        <v>7918</v>
      </c>
      <c r="CI39" s="475">
        <v>602365</v>
      </c>
      <c r="CJ39" s="475">
        <v>783</v>
      </c>
      <c r="CK39" s="475">
        <v>466</v>
      </c>
      <c r="CL39" s="475">
        <v>7973</v>
      </c>
      <c r="CM39" s="475">
        <v>602831</v>
      </c>
      <c r="CN39" s="475">
        <v>7388</v>
      </c>
      <c r="CO39" s="475">
        <v>24055</v>
      </c>
      <c r="CP39" s="475">
        <v>5846</v>
      </c>
      <c r="CQ39" s="475">
        <v>7167</v>
      </c>
      <c r="CR39" s="475">
        <v>554</v>
      </c>
      <c r="CS39" s="475">
        <v>3507</v>
      </c>
      <c r="CT39" s="475">
        <v>8550</v>
      </c>
      <c r="CU39" s="475">
        <v>34729</v>
      </c>
      <c r="CV39" s="475">
        <v>0</v>
      </c>
      <c r="CW39" s="475">
        <v>0</v>
      </c>
      <c r="CX39" s="475">
        <v>7477</v>
      </c>
      <c r="CY39" s="475">
        <v>38306</v>
      </c>
      <c r="CZ39" s="475">
        <v>10903</v>
      </c>
      <c r="DA39" s="475">
        <v>760150</v>
      </c>
      <c r="DB39" s="475">
        <v>111</v>
      </c>
      <c r="DC39" s="475">
        <v>-201</v>
      </c>
      <c r="DD39" s="475">
        <v>27336</v>
      </c>
      <c r="DE39" s="475">
        <v>958083</v>
      </c>
      <c r="DF39" s="475">
        <v>171624</v>
      </c>
      <c r="DG39" s="475">
        <v>1100433</v>
      </c>
      <c r="DH39" s="475">
        <v>237926</v>
      </c>
      <c r="DI39" s="475">
        <v>29027</v>
      </c>
      <c r="DJ39" s="475">
        <v>124772</v>
      </c>
      <c r="DK39" s="475">
        <v>47164</v>
      </c>
      <c r="DL39" s="475">
        <v>36743</v>
      </c>
      <c r="DM39" s="475">
        <v>47</v>
      </c>
      <c r="DN39" s="475">
        <v>197404</v>
      </c>
      <c r="DO39" s="475">
        <v>80671</v>
      </c>
      <c r="DP39" s="475">
        <v>610</v>
      </c>
      <c r="DQ39" s="475">
        <v>105</v>
      </c>
      <c r="DR39" s="475">
        <v>62285</v>
      </c>
      <c r="DS39" s="475">
        <v>3957</v>
      </c>
      <c r="DT39" s="475">
        <v>61674</v>
      </c>
      <c r="DU39" s="475">
        <v>3745</v>
      </c>
      <c r="DV39" s="475">
        <v>0</v>
      </c>
      <c r="DW39" s="475">
        <v>0</v>
      </c>
      <c r="DX39" s="475">
        <v>111</v>
      </c>
      <c r="DY39" s="475">
        <v>135</v>
      </c>
      <c r="DZ39" s="475">
        <v>0</v>
      </c>
      <c r="EA39" s="475">
        <v>0</v>
      </c>
      <c r="EB39" s="475">
        <v>2715</v>
      </c>
      <c r="EC39" s="475">
        <v>326</v>
      </c>
      <c r="ED39" s="475">
        <v>171931</v>
      </c>
      <c r="EE39" s="475">
        <v>105081</v>
      </c>
      <c r="EF39" s="475">
        <v>3693</v>
      </c>
      <c r="EG39" s="475">
        <v>5161</v>
      </c>
      <c r="EH39" s="475">
        <v>0</v>
      </c>
      <c r="EI39" s="475">
        <v>0</v>
      </c>
      <c r="EJ39" s="475">
        <v>445</v>
      </c>
      <c r="EK39" s="475">
        <v>71</v>
      </c>
      <c r="EL39" s="475">
        <v>159002</v>
      </c>
      <c r="EM39" s="475">
        <v>67296</v>
      </c>
      <c r="EN39" s="475">
        <v>2255</v>
      </c>
      <c r="EO39" s="475">
        <v>2898</v>
      </c>
      <c r="EP39" s="476">
        <v>0</v>
      </c>
      <c r="EQ39" s="476">
        <v>0</v>
      </c>
      <c r="ER39" s="476">
        <v>0</v>
      </c>
      <c r="ES39" s="476">
        <v>0</v>
      </c>
      <c r="ET39" s="476">
        <v>0</v>
      </c>
      <c r="EU39" s="476">
        <v>0</v>
      </c>
    </row>
    <row r="40" spans="1:151" ht="15.5">
      <c r="A40" s="474" t="s">
        <v>750</v>
      </c>
      <c r="B40" s="475">
        <v>178815</v>
      </c>
      <c r="C40" s="475">
        <v>106324</v>
      </c>
      <c r="D40" s="475">
        <v>6484696</v>
      </c>
      <c r="E40" s="475">
        <v>-316093</v>
      </c>
      <c r="F40" s="475">
        <v>6168603</v>
      </c>
      <c r="G40" s="475">
        <v>1439037</v>
      </c>
      <c r="H40" s="475">
        <v>4766208</v>
      </c>
      <c r="I40" s="475">
        <v>48645</v>
      </c>
      <c r="J40" s="475">
        <v>152849</v>
      </c>
      <c r="K40" s="475">
        <v>5146403</v>
      </c>
      <c r="L40" s="475">
        <v>36377</v>
      </c>
      <c r="M40" s="475">
        <v>43250</v>
      </c>
      <c r="N40" s="475">
        <v>15297</v>
      </c>
      <c r="O40" s="475">
        <v>67555</v>
      </c>
      <c r="P40" s="475">
        <v>23556</v>
      </c>
      <c r="Q40" s="475">
        <v>459197</v>
      </c>
      <c r="R40" s="475">
        <v>16967</v>
      </c>
      <c r="S40" s="475">
        <v>323111</v>
      </c>
      <c r="T40" s="475">
        <v>6364</v>
      </c>
      <c r="U40" s="475">
        <v>-51855</v>
      </c>
      <c r="V40" s="475">
        <v>8034</v>
      </c>
      <c r="W40" s="475">
        <v>52708</v>
      </c>
      <c r="X40" s="475">
        <v>6831</v>
      </c>
      <c r="Y40" s="475">
        <v>-15106</v>
      </c>
      <c r="Z40" s="475">
        <v>4965</v>
      </c>
      <c r="AA40" s="475">
        <v>64998</v>
      </c>
      <c r="AB40" s="475">
        <v>2925</v>
      </c>
      <c r="AC40" s="475">
        <v>-32379</v>
      </c>
      <c r="AD40" s="475">
        <v>3595</v>
      </c>
      <c r="AE40" s="475">
        <v>72606</v>
      </c>
      <c r="AF40" s="475">
        <v>1384</v>
      </c>
      <c r="AG40" s="475">
        <v>47483</v>
      </c>
      <c r="AH40" s="475">
        <v>658</v>
      </c>
      <c r="AI40" s="475">
        <v>8951</v>
      </c>
      <c r="AJ40" s="475">
        <v>164</v>
      </c>
      <c r="AK40" s="475">
        <v>537</v>
      </c>
      <c r="AL40" s="475">
        <v>109</v>
      </c>
      <c r="AM40" s="475">
        <v>2294</v>
      </c>
      <c r="AN40" s="475">
        <v>273</v>
      </c>
      <c r="AO40" s="475">
        <v>-7521</v>
      </c>
      <c r="AP40" s="475">
        <v>43776</v>
      </c>
      <c r="AQ40" s="475">
        <v>544304</v>
      </c>
      <c r="AR40" s="475">
        <v>3355</v>
      </c>
      <c r="AS40" s="475">
        <v>66091</v>
      </c>
      <c r="AT40" s="475">
        <v>178815</v>
      </c>
      <c r="AU40" s="475">
        <v>6564406</v>
      </c>
      <c r="AV40" s="475">
        <v>2764</v>
      </c>
      <c r="AW40" s="475">
        <v>14115</v>
      </c>
      <c r="AX40" s="475">
        <v>11370</v>
      </c>
      <c r="AY40" s="475">
        <v>11674</v>
      </c>
      <c r="AZ40" s="475">
        <v>443</v>
      </c>
      <c r="BA40" s="475">
        <v>988</v>
      </c>
      <c r="BB40" s="475">
        <v>111</v>
      </c>
      <c r="BC40" s="475">
        <v>442</v>
      </c>
      <c r="BD40" s="475">
        <v>16639</v>
      </c>
      <c r="BE40" s="475">
        <v>24859</v>
      </c>
      <c r="BF40" s="475">
        <v>2697</v>
      </c>
      <c r="BG40" s="475">
        <v>15527</v>
      </c>
      <c r="BH40" s="475">
        <v>439</v>
      </c>
      <c r="BI40" s="475">
        <v>3103</v>
      </c>
      <c r="BJ40" s="475">
        <v>441</v>
      </c>
      <c r="BK40" s="475">
        <v>17</v>
      </c>
      <c r="BL40" s="475">
        <v>273</v>
      </c>
      <c r="BM40" s="475">
        <v>2572</v>
      </c>
      <c r="BN40" s="475">
        <v>0</v>
      </c>
      <c r="BO40" s="475">
        <v>0</v>
      </c>
      <c r="BP40" s="475">
        <v>31329</v>
      </c>
      <c r="BQ40" s="475">
        <v>77543</v>
      </c>
      <c r="BR40" s="475">
        <v>40522</v>
      </c>
      <c r="BS40" s="475">
        <v>389410</v>
      </c>
      <c r="BT40" s="475">
        <v>10606</v>
      </c>
      <c r="BU40" s="475">
        <v>73317</v>
      </c>
      <c r="BV40" s="475">
        <v>5657</v>
      </c>
      <c r="BW40" s="475">
        <v>87040</v>
      </c>
      <c r="BX40" s="475">
        <v>10394</v>
      </c>
      <c r="BY40" s="475">
        <v>17877</v>
      </c>
      <c r="BZ40" s="475">
        <v>8515</v>
      </c>
      <c r="CA40" s="475">
        <v>43971</v>
      </c>
      <c r="CB40" s="475">
        <v>6659</v>
      </c>
      <c r="CC40" s="475">
        <v>3324</v>
      </c>
      <c r="CD40" s="475">
        <v>876</v>
      </c>
      <c r="CE40" s="475">
        <v>1312</v>
      </c>
      <c r="CF40" s="475">
        <v>10613</v>
      </c>
      <c r="CG40" s="475">
        <v>66485</v>
      </c>
      <c r="CH40" s="475">
        <v>7750</v>
      </c>
      <c r="CI40" s="475">
        <v>94243</v>
      </c>
      <c r="CJ40" s="475">
        <v>989</v>
      </c>
      <c r="CK40" s="475">
        <v>692</v>
      </c>
      <c r="CL40" s="475">
        <v>7804</v>
      </c>
      <c r="CM40" s="475">
        <v>94935</v>
      </c>
      <c r="CN40" s="475">
        <v>6534</v>
      </c>
      <c r="CO40" s="475">
        <v>21038</v>
      </c>
      <c r="CP40" s="475">
        <v>4944</v>
      </c>
      <c r="CQ40" s="475">
        <v>7014</v>
      </c>
      <c r="CR40" s="475">
        <v>164</v>
      </c>
      <c r="CS40" s="475">
        <v>970</v>
      </c>
      <c r="CT40" s="475">
        <v>7746</v>
      </c>
      <c r="CU40" s="475">
        <v>29021</v>
      </c>
      <c r="CV40" s="475">
        <v>0</v>
      </c>
      <c r="CW40" s="475">
        <v>0</v>
      </c>
      <c r="CX40" s="475">
        <v>8267</v>
      </c>
      <c r="CY40" s="475">
        <v>41813</v>
      </c>
      <c r="CZ40" s="475">
        <v>10722</v>
      </c>
      <c r="DA40" s="475">
        <v>278709</v>
      </c>
      <c r="DB40" s="475">
        <v>0</v>
      </c>
      <c r="DC40" s="475">
        <v>0</v>
      </c>
      <c r="DD40" s="475">
        <v>26678</v>
      </c>
      <c r="DE40" s="475">
        <v>462133</v>
      </c>
      <c r="DF40" s="475">
        <v>152137</v>
      </c>
      <c r="DG40" s="475">
        <v>976904</v>
      </c>
      <c r="DH40" s="475">
        <v>215192</v>
      </c>
      <c r="DI40" s="475">
        <v>26253</v>
      </c>
      <c r="DJ40" s="475">
        <v>112705</v>
      </c>
      <c r="DK40" s="475">
        <v>42603</v>
      </c>
      <c r="DL40" s="475">
        <v>35721</v>
      </c>
      <c r="DM40" s="475">
        <v>88</v>
      </c>
      <c r="DN40" s="475">
        <v>177702</v>
      </c>
      <c r="DO40" s="475">
        <v>73212</v>
      </c>
      <c r="DP40" s="475">
        <v>553</v>
      </c>
      <c r="DQ40" s="475">
        <v>38</v>
      </c>
      <c r="DR40" s="475">
        <v>52760</v>
      </c>
      <c r="DS40" s="475">
        <v>3367</v>
      </c>
      <c r="DT40" s="475">
        <v>52095</v>
      </c>
      <c r="DU40" s="475">
        <v>3206</v>
      </c>
      <c r="DV40" s="475">
        <v>0</v>
      </c>
      <c r="DW40" s="475">
        <v>0</v>
      </c>
      <c r="DX40" s="475">
        <v>0</v>
      </c>
      <c r="DY40" s="475">
        <v>0</v>
      </c>
      <c r="DZ40" s="475">
        <v>0</v>
      </c>
      <c r="EA40" s="475">
        <v>0</v>
      </c>
      <c r="EB40" s="475">
        <v>3710</v>
      </c>
      <c r="EC40" s="475">
        <v>429</v>
      </c>
      <c r="ED40" s="475">
        <v>155373</v>
      </c>
      <c r="EE40" s="475">
        <v>100668</v>
      </c>
      <c r="EF40" s="475">
        <v>3849</v>
      </c>
      <c r="EG40" s="475">
        <v>7690</v>
      </c>
      <c r="EH40" s="475">
        <v>0</v>
      </c>
      <c r="EI40" s="475">
        <v>0</v>
      </c>
      <c r="EJ40" s="475">
        <v>445</v>
      </c>
      <c r="EK40" s="475">
        <v>84</v>
      </c>
      <c r="EL40" s="475">
        <v>142377</v>
      </c>
      <c r="EM40" s="475">
        <v>66795</v>
      </c>
      <c r="EN40" s="475">
        <v>1920</v>
      </c>
      <c r="EO40" s="475">
        <v>4206</v>
      </c>
      <c r="EP40" s="476">
        <v>0</v>
      </c>
      <c r="EQ40" s="476">
        <v>0</v>
      </c>
      <c r="ER40" s="476">
        <v>0</v>
      </c>
      <c r="ES40" s="476">
        <v>0</v>
      </c>
      <c r="ET40" s="476">
        <v>0</v>
      </c>
      <c r="EU40" s="476">
        <v>0</v>
      </c>
    </row>
    <row r="41" spans="1:151" ht="15.5">
      <c r="A41" s="474" t="s">
        <v>751</v>
      </c>
      <c r="B41" s="475">
        <v>179763</v>
      </c>
      <c r="C41" s="475">
        <v>99122</v>
      </c>
      <c r="D41" s="475">
        <v>6713998</v>
      </c>
      <c r="E41" s="475">
        <v>-332004</v>
      </c>
      <c r="F41" s="475">
        <v>6381994</v>
      </c>
      <c r="G41" s="475">
        <v>1476406</v>
      </c>
      <c r="H41" s="475">
        <v>4938872</v>
      </c>
      <c r="I41" s="475">
        <v>49869</v>
      </c>
      <c r="J41" s="475">
        <v>153069</v>
      </c>
      <c r="K41" s="475">
        <v>5325255</v>
      </c>
      <c r="L41" s="475">
        <v>38941</v>
      </c>
      <c r="M41" s="475">
        <v>41604</v>
      </c>
      <c r="N41" s="475">
        <v>17013</v>
      </c>
      <c r="O41" s="475">
        <v>63756</v>
      </c>
      <c r="P41" s="475">
        <v>23248</v>
      </c>
      <c r="Q41" s="475">
        <v>449737</v>
      </c>
      <c r="R41" s="475">
        <v>19080</v>
      </c>
      <c r="S41" s="475">
        <v>381077</v>
      </c>
      <c r="T41" s="475">
        <v>6680</v>
      </c>
      <c r="U41" s="475">
        <v>-57799</v>
      </c>
      <c r="V41" s="475">
        <v>8976</v>
      </c>
      <c r="W41" s="475">
        <v>53665</v>
      </c>
      <c r="X41" s="475">
        <v>5913</v>
      </c>
      <c r="Y41" s="475">
        <v>-12439</v>
      </c>
      <c r="Z41" s="475">
        <v>4812</v>
      </c>
      <c r="AA41" s="475">
        <v>52523</v>
      </c>
      <c r="AB41" s="475">
        <v>3061</v>
      </c>
      <c r="AC41" s="475">
        <v>-38510</v>
      </c>
      <c r="AD41" s="475">
        <v>4266</v>
      </c>
      <c r="AE41" s="475">
        <v>105148</v>
      </c>
      <c r="AF41" s="475">
        <v>2353</v>
      </c>
      <c r="AG41" s="475">
        <v>45616</v>
      </c>
      <c r="AH41" s="475">
        <v>503</v>
      </c>
      <c r="AI41" s="475">
        <v>7422</v>
      </c>
      <c r="AJ41" s="475">
        <v>109</v>
      </c>
      <c r="AK41" s="475">
        <v>1133</v>
      </c>
      <c r="AL41" s="475">
        <v>55</v>
      </c>
      <c r="AM41" s="475">
        <v>16</v>
      </c>
      <c r="AN41" s="475">
        <v>273</v>
      </c>
      <c r="AO41" s="475">
        <v>-9279</v>
      </c>
      <c r="AP41" s="475">
        <v>41656</v>
      </c>
      <c r="AQ41" s="475">
        <v>538997</v>
      </c>
      <c r="AR41" s="475">
        <v>2820</v>
      </c>
      <c r="AS41" s="475">
        <v>57968</v>
      </c>
      <c r="AT41" s="475">
        <v>179707</v>
      </c>
      <c r="AU41" s="475">
        <v>6796449</v>
      </c>
      <c r="AV41" s="475">
        <v>2514</v>
      </c>
      <c r="AW41" s="475">
        <v>13667</v>
      </c>
      <c r="AX41" s="475">
        <v>12408</v>
      </c>
      <c r="AY41" s="475">
        <v>12690</v>
      </c>
      <c r="AZ41" s="475">
        <v>547</v>
      </c>
      <c r="BA41" s="475">
        <v>1802</v>
      </c>
      <c r="BB41" s="475">
        <v>0</v>
      </c>
      <c r="BC41" s="475">
        <v>0</v>
      </c>
      <c r="BD41" s="475">
        <v>19245</v>
      </c>
      <c r="BE41" s="475">
        <v>28638</v>
      </c>
      <c r="BF41" s="475">
        <v>3772</v>
      </c>
      <c r="BG41" s="475">
        <v>17152</v>
      </c>
      <c r="BH41" s="475">
        <v>601</v>
      </c>
      <c r="BI41" s="475">
        <v>5444</v>
      </c>
      <c r="BJ41" s="475">
        <v>164</v>
      </c>
      <c r="BK41" s="475">
        <v>13</v>
      </c>
      <c r="BL41" s="475">
        <v>273</v>
      </c>
      <c r="BM41" s="475">
        <v>2335</v>
      </c>
      <c r="BN41" s="475">
        <v>0</v>
      </c>
      <c r="BO41" s="475">
        <v>0</v>
      </c>
      <c r="BP41" s="475">
        <v>35588</v>
      </c>
      <c r="BQ41" s="475">
        <v>87408</v>
      </c>
      <c r="BR41" s="475">
        <v>38446</v>
      </c>
      <c r="BS41" s="475">
        <v>387951</v>
      </c>
      <c r="BT41" s="475">
        <v>12880</v>
      </c>
      <c r="BU41" s="475">
        <v>55947</v>
      </c>
      <c r="BV41" s="475">
        <v>5045</v>
      </c>
      <c r="BW41" s="475">
        <v>70001</v>
      </c>
      <c r="BX41" s="475">
        <v>10020</v>
      </c>
      <c r="BY41" s="475">
        <v>21336</v>
      </c>
      <c r="BZ41" s="475">
        <v>8042</v>
      </c>
      <c r="CA41" s="475">
        <v>51412</v>
      </c>
      <c r="CB41" s="475">
        <v>5521</v>
      </c>
      <c r="CC41" s="475">
        <v>2647</v>
      </c>
      <c r="CD41" s="475">
        <v>1203</v>
      </c>
      <c r="CE41" s="475">
        <v>898</v>
      </c>
      <c r="CF41" s="475">
        <v>10130</v>
      </c>
      <c r="CG41" s="475">
        <v>76293</v>
      </c>
      <c r="CH41" s="475">
        <v>6959</v>
      </c>
      <c r="CI41" s="475">
        <v>91030</v>
      </c>
      <c r="CJ41" s="475">
        <v>711</v>
      </c>
      <c r="CK41" s="475">
        <v>1112</v>
      </c>
      <c r="CL41" s="475">
        <v>7069</v>
      </c>
      <c r="CM41" s="475">
        <v>92142</v>
      </c>
      <c r="CN41" s="475">
        <v>7598</v>
      </c>
      <c r="CO41" s="475">
        <v>20041</v>
      </c>
      <c r="CP41" s="475">
        <v>4810</v>
      </c>
      <c r="CQ41" s="475">
        <v>5608</v>
      </c>
      <c r="CR41" s="475">
        <v>273</v>
      </c>
      <c r="CS41" s="475">
        <v>1800</v>
      </c>
      <c r="CT41" s="475">
        <v>8309</v>
      </c>
      <c r="CU41" s="475">
        <v>27449</v>
      </c>
      <c r="CV41" s="475">
        <v>0</v>
      </c>
      <c r="CW41" s="475">
        <v>0</v>
      </c>
      <c r="CX41" s="475">
        <v>7341</v>
      </c>
      <c r="CY41" s="475">
        <v>41855</v>
      </c>
      <c r="CZ41" s="475">
        <v>10184</v>
      </c>
      <c r="DA41" s="475">
        <v>260814</v>
      </c>
      <c r="DB41" s="475">
        <v>0</v>
      </c>
      <c r="DC41" s="475">
        <v>0</v>
      </c>
      <c r="DD41" s="475">
        <v>26915</v>
      </c>
      <c r="DE41" s="475">
        <v>476832</v>
      </c>
      <c r="DF41" s="475">
        <v>152739</v>
      </c>
      <c r="DG41" s="475">
        <v>999574</v>
      </c>
      <c r="DH41" s="475">
        <v>219017</v>
      </c>
      <c r="DI41" s="475">
        <v>26720</v>
      </c>
      <c r="DJ41" s="475">
        <v>122288</v>
      </c>
      <c r="DK41" s="475">
        <v>46225</v>
      </c>
      <c r="DL41" s="475">
        <v>33736</v>
      </c>
      <c r="DM41" s="475">
        <v>40</v>
      </c>
      <c r="DN41" s="475">
        <v>178610</v>
      </c>
      <c r="DO41" s="475">
        <v>77058</v>
      </c>
      <c r="DP41" s="475">
        <v>656</v>
      </c>
      <c r="DQ41" s="475">
        <v>122</v>
      </c>
      <c r="DR41" s="475">
        <v>50901</v>
      </c>
      <c r="DS41" s="475">
        <v>3449</v>
      </c>
      <c r="DT41" s="475">
        <v>50245</v>
      </c>
      <c r="DU41" s="475">
        <v>3200</v>
      </c>
      <c r="DV41" s="475">
        <v>0</v>
      </c>
      <c r="DW41" s="475">
        <v>0</v>
      </c>
      <c r="DX41" s="475">
        <v>0</v>
      </c>
      <c r="DY41" s="475">
        <v>0</v>
      </c>
      <c r="DZ41" s="475">
        <v>0</v>
      </c>
      <c r="EA41" s="475">
        <v>0</v>
      </c>
      <c r="EB41" s="475">
        <v>3608</v>
      </c>
      <c r="EC41" s="475">
        <v>485</v>
      </c>
      <c r="ED41" s="475">
        <v>155637</v>
      </c>
      <c r="EE41" s="475">
        <v>106998</v>
      </c>
      <c r="EF41" s="475">
        <v>3608</v>
      </c>
      <c r="EG41" s="475">
        <v>5643</v>
      </c>
      <c r="EH41" s="475">
        <v>55</v>
      </c>
      <c r="EI41" s="475">
        <v>16</v>
      </c>
      <c r="EJ41" s="475">
        <v>273</v>
      </c>
      <c r="EK41" s="475">
        <v>73</v>
      </c>
      <c r="EL41" s="475">
        <v>143927</v>
      </c>
      <c r="EM41" s="475">
        <v>70198</v>
      </c>
      <c r="EN41" s="475">
        <v>1367</v>
      </c>
      <c r="EO41" s="475">
        <v>1401</v>
      </c>
      <c r="EP41" s="476">
        <v>0</v>
      </c>
      <c r="EQ41" s="476">
        <v>0</v>
      </c>
      <c r="ER41" s="476">
        <v>0</v>
      </c>
      <c r="ES41" s="476">
        <v>0</v>
      </c>
      <c r="ET41" s="476">
        <v>0</v>
      </c>
      <c r="EU41" s="476">
        <v>0</v>
      </c>
    </row>
    <row r="42" spans="1:151" ht="15.5">
      <c r="A42" s="474" t="s">
        <v>752</v>
      </c>
      <c r="B42" s="475">
        <v>176603</v>
      </c>
      <c r="C42" s="475">
        <v>103976</v>
      </c>
      <c r="D42" s="475">
        <v>6776354</v>
      </c>
      <c r="E42" s="475">
        <v>-331150</v>
      </c>
      <c r="F42" s="475">
        <v>6445204</v>
      </c>
      <c r="G42" s="475">
        <v>1446304</v>
      </c>
      <c r="H42" s="475">
        <v>5023005</v>
      </c>
      <c r="I42" s="475">
        <v>53940</v>
      </c>
      <c r="J42" s="475">
        <v>152025</v>
      </c>
      <c r="K42" s="475">
        <v>5410686</v>
      </c>
      <c r="L42" s="475">
        <v>38887</v>
      </c>
      <c r="M42" s="475">
        <v>35238</v>
      </c>
      <c r="N42" s="475">
        <v>15045</v>
      </c>
      <c r="O42" s="475">
        <v>59273</v>
      </c>
      <c r="P42" s="475">
        <v>23395</v>
      </c>
      <c r="Q42" s="475">
        <v>481037</v>
      </c>
      <c r="R42" s="475">
        <v>18148</v>
      </c>
      <c r="S42" s="475">
        <v>340753</v>
      </c>
      <c r="T42" s="475">
        <v>6013</v>
      </c>
      <c r="U42" s="475">
        <v>-54333</v>
      </c>
      <c r="V42" s="475">
        <v>8254</v>
      </c>
      <c r="W42" s="475">
        <v>44857</v>
      </c>
      <c r="X42" s="475">
        <v>5817</v>
      </c>
      <c r="Y42" s="475">
        <v>-12897</v>
      </c>
      <c r="Z42" s="475">
        <v>5588</v>
      </c>
      <c r="AA42" s="475">
        <v>61661</v>
      </c>
      <c r="AB42" s="475">
        <v>2733</v>
      </c>
      <c r="AC42" s="475">
        <v>-32776</v>
      </c>
      <c r="AD42" s="475">
        <v>2897</v>
      </c>
      <c r="AE42" s="475">
        <v>56650</v>
      </c>
      <c r="AF42" s="475">
        <v>1749</v>
      </c>
      <c r="AG42" s="475">
        <v>35415</v>
      </c>
      <c r="AH42" s="475">
        <v>328</v>
      </c>
      <c r="AI42" s="475">
        <v>7537</v>
      </c>
      <c r="AJ42" s="475">
        <v>0</v>
      </c>
      <c r="AK42" s="475">
        <v>0</v>
      </c>
      <c r="AL42" s="475">
        <v>55</v>
      </c>
      <c r="AM42" s="475">
        <v>0</v>
      </c>
      <c r="AN42" s="475">
        <v>220</v>
      </c>
      <c r="AO42" s="475">
        <v>-3026</v>
      </c>
      <c r="AP42" s="475">
        <v>43795</v>
      </c>
      <c r="AQ42" s="475">
        <v>541856</v>
      </c>
      <c r="AR42" s="475">
        <v>1742</v>
      </c>
      <c r="AS42" s="475">
        <v>38312</v>
      </c>
      <c r="AT42" s="475">
        <v>176603</v>
      </c>
      <c r="AU42" s="475">
        <v>6862789</v>
      </c>
      <c r="AV42" s="475">
        <v>3225</v>
      </c>
      <c r="AW42" s="475">
        <v>15881</v>
      </c>
      <c r="AX42" s="475">
        <v>11424</v>
      </c>
      <c r="AY42" s="475">
        <v>10313</v>
      </c>
      <c r="AZ42" s="475">
        <v>601</v>
      </c>
      <c r="BA42" s="475">
        <v>1580</v>
      </c>
      <c r="BB42" s="475">
        <v>0</v>
      </c>
      <c r="BC42" s="475">
        <v>0</v>
      </c>
      <c r="BD42" s="475">
        <v>18258</v>
      </c>
      <c r="BE42" s="475">
        <v>25467</v>
      </c>
      <c r="BF42" s="475">
        <v>3936</v>
      </c>
      <c r="BG42" s="475">
        <v>15571</v>
      </c>
      <c r="BH42" s="475">
        <v>273</v>
      </c>
      <c r="BI42" s="475">
        <v>4455</v>
      </c>
      <c r="BJ42" s="475">
        <v>656</v>
      </c>
      <c r="BK42" s="475">
        <v>499</v>
      </c>
      <c r="BL42" s="475">
        <v>601</v>
      </c>
      <c r="BM42" s="475">
        <v>5954</v>
      </c>
      <c r="BN42" s="475">
        <v>0</v>
      </c>
      <c r="BO42" s="475">
        <v>0</v>
      </c>
      <c r="BP42" s="475">
        <v>33836</v>
      </c>
      <c r="BQ42" s="475">
        <v>85591</v>
      </c>
      <c r="BR42" s="475">
        <v>39248</v>
      </c>
      <c r="BS42" s="475">
        <v>379761</v>
      </c>
      <c r="BT42" s="475">
        <v>11198</v>
      </c>
      <c r="BU42" s="475">
        <v>48611</v>
      </c>
      <c r="BV42" s="475">
        <v>5031</v>
      </c>
      <c r="BW42" s="475">
        <v>79984</v>
      </c>
      <c r="BX42" s="475">
        <v>10168</v>
      </c>
      <c r="BY42" s="475">
        <v>13618</v>
      </c>
      <c r="BZ42" s="475">
        <v>8802</v>
      </c>
      <c r="CA42" s="475">
        <v>47619</v>
      </c>
      <c r="CB42" s="475">
        <v>5904</v>
      </c>
      <c r="CC42" s="475">
        <v>3947</v>
      </c>
      <c r="CD42" s="475">
        <v>1531</v>
      </c>
      <c r="CE42" s="475">
        <v>1244</v>
      </c>
      <c r="CF42" s="475">
        <v>10497</v>
      </c>
      <c r="CG42" s="475">
        <v>66428</v>
      </c>
      <c r="CH42" s="475">
        <v>8529</v>
      </c>
      <c r="CI42" s="475">
        <v>106572</v>
      </c>
      <c r="CJ42" s="475">
        <v>1585</v>
      </c>
      <c r="CK42" s="475">
        <v>1595</v>
      </c>
      <c r="CL42" s="475">
        <v>8693</v>
      </c>
      <c r="CM42" s="475">
        <v>108167</v>
      </c>
      <c r="CN42" s="475">
        <v>6997</v>
      </c>
      <c r="CO42" s="475">
        <v>14260</v>
      </c>
      <c r="CP42" s="475">
        <v>4646</v>
      </c>
      <c r="CQ42" s="475">
        <v>5453</v>
      </c>
      <c r="CR42" s="475">
        <v>109</v>
      </c>
      <c r="CS42" s="475">
        <v>1071</v>
      </c>
      <c r="CT42" s="475">
        <v>7543</v>
      </c>
      <c r="CU42" s="475">
        <v>20784</v>
      </c>
      <c r="CV42" s="475">
        <v>0</v>
      </c>
      <c r="CW42" s="475">
        <v>0</v>
      </c>
      <c r="CX42" s="475">
        <v>6418</v>
      </c>
      <c r="CY42" s="475">
        <v>31085</v>
      </c>
      <c r="CZ42" s="475">
        <v>10552</v>
      </c>
      <c r="DA42" s="475">
        <v>280389</v>
      </c>
      <c r="DB42" s="475">
        <v>55</v>
      </c>
      <c r="DC42" s="475">
        <v>-38</v>
      </c>
      <c r="DD42" s="475">
        <v>26250</v>
      </c>
      <c r="DE42" s="475">
        <v>473145</v>
      </c>
      <c r="DF42" s="475">
        <v>150298</v>
      </c>
      <c r="DG42" s="475">
        <v>973159</v>
      </c>
      <c r="DH42" s="475">
        <v>216706</v>
      </c>
      <c r="DI42" s="475">
        <v>26438</v>
      </c>
      <c r="DJ42" s="475">
        <v>114988</v>
      </c>
      <c r="DK42" s="475">
        <v>43465</v>
      </c>
      <c r="DL42" s="475">
        <v>36113</v>
      </c>
      <c r="DM42" s="475">
        <v>47</v>
      </c>
      <c r="DN42" s="475">
        <v>175564</v>
      </c>
      <c r="DO42" s="475">
        <v>74309</v>
      </c>
      <c r="DP42" s="475">
        <v>383</v>
      </c>
      <c r="DQ42" s="475">
        <v>116</v>
      </c>
      <c r="DR42" s="475">
        <v>49960</v>
      </c>
      <c r="DS42" s="475">
        <v>3374</v>
      </c>
      <c r="DT42" s="475">
        <v>49304</v>
      </c>
      <c r="DU42" s="475">
        <v>3180</v>
      </c>
      <c r="DV42" s="475">
        <v>0</v>
      </c>
      <c r="DW42" s="475">
        <v>0</v>
      </c>
      <c r="DX42" s="475">
        <v>0</v>
      </c>
      <c r="DY42" s="475">
        <v>0</v>
      </c>
      <c r="DZ42" s="475">
        <v>0</v>
      </c>
      <c r="EA42" s="475">
        <v>0</v>
      </c>
      <c r="EB42" s="475">
        <v>3990</v>
      </c>
      <c r="EC42" s="475">
        <v>605</v>
      </c>
      <c r="ED42" s="475">
        <v>156169</v>
      </c>
      <c r="EE42" s="475">
        <v>110513</v>
      </c>
      <c r="EF42" s="475">
        <v>3072</v>
      </c>
      <c r="EG42" s="475">
        <v>3192</v>
      </c>
      <c r="EH42" s="475">
        <v>110</v>
      </c>
      <c r="EI42" s="475">
        <v>27</v>
      </c>
      <c r="EJ42" s="475">
        <v>109</v>
      </c>
      <c r="EK42" s="475">
        <v>24</v>
      </c>
      <c r="EL42" s="475">
        <v>141355</v>
      </c>
      <c r="EM42" s="475">
        <v>67988</v>
      </c>
      <c r="EN42" s="475">
        <v>929</v>
      </c>
      <c r="EO42" s="475">
        <v>433</v>
      </c>
      <c r="EP42" s="476">
        <v>0</v>
      </c>
      <c r="EQ42" s="476">
        <v>0</v>
      </c>
      <c r="ER42" s="476">
        <v>0</v>
      </c>
      <c r="ES42" s="476">
        <v>0</v>
      </c>
      <c r="ET42" s="476">
        <v>0</v>
      </c>
      <c r="EU42" s="476">
        <v>0</v>
      </c>
    </row>
    <row r="43" spans="1:151" ht="15.5">
      <c r="A43" s="474" t="s">
        <v>753</v>
      </c>
      <c r="B43" s="475">
        <v>173523</v>
      </c>
      <c r="C43" s="475">
        <v>101574</v>
      </c>
      <c r="D43" s="475">
        <v>6875490</v>
      </c>
      <c r="E43" s="475">
        <v>-367616</v>
      </c>
      <c r="F43" s="475">
        <v>6507874</v>
      </c>
      <c r="G43" s="475">
        <v>1475205</v>
      </c>
      <c r="H43" s="475">
        <v>5063496</v>
      </c>
      <c r="I43" s="475">
        <v>55362</v>
      </c>
      <c r="J43" s="475">
        <v>149790</v>
      </c>
      <c r="K43" s="475">
        <v>5464169</v>
      </c>
      <c r="L43" s="475">
        <v>38443</v>
      </c>
      <c r="M43" s="475">
        <v>37826</v>
      </c>
      <c r="N43" s="475">
        <v>15100</v>
      </c>
      <c r="O43" s="475">
        <v>66233</v>
      </c>
      <c r="P43" s="475">
        <v>21052</v>
      </c>
      <c r="Q43" s="475">
        <v>443753</v>
      </c>
      <c r="R43" s="475">
        <v>17438</v>
      </c>
      <c r="S43" s="475">
        <v>345576</v>
      </c>
      <c r="T43" s="475">
        <v>6674</v>
      </c>
      <c r="U43" s="475">
        <v>-51436</v>
      </c>
      <c r="V43" s="475">
        <v>9032</v>
      </c>
      <c r="W43" s="475">
        <v>51146</v>
      </c>
      <c r="X43" s="475">
        <v>5523</v>
      </c>
      <c r="Y43" s="475">
        <v>-11820</v>
      </c>
      <c r="Z43" s="475">
        <v>4047</v>
      </c>
      <c r="AA43" s="475">
        <v>41456</v>
      </c>
      <c r="AB43" s="475">
        <v>3724</v>
      </c>
      <c r="AC43" s="475">
        <v>-36654</v>
      </c>
      <c r="AD43" s="475">
        <v>3990</v>
      </c>
      <c r="AE43" s="475">
        <v>77743</v>
      </c>
      <c r="AF43" s="475">
        <v>2298</v>
      </c>
      <c r="AG43" s="475">
        <v>36840</v>
      </c>
      <c r="AH43" s="475">
        <v>383</v>
      </c>
      <c r="AI43" s="475">
        <v>4602</v>
      </c>
      <c r="AJ43" s="475">
        <v>55</v>
      </c>
      <c r="AK43" s="475">
        <v>113</v>
      </c>
      <c r="AL43" s="475">
        <v>164</v>
      </c>
      <c r="AM43" s="475">
        <v>319</v>
      </c>
      <c r="AN43" s="475">
        <v>111</v>
      </c>
      <c r="AO43" s="475">
        <v>-5570</v>
      </c>
      <c r="AP43" s="475">
        <v>44181</v>
      </c>
      <c r="AQ43" s="475">
        <v>584316</v>
      </c>
      <c r="AR43" s="475">
        <v>2039</v>
      </c>
      <c r="AS43" s="475">
        <v>29482</v>
      </c>
      <c r="AT43" s="475">
        <v>173468</v>
      </c>
      <c r="AU43" s="475">
        <v>6946246</v>
      </c>
      <c r="AV43" s="475">
        <v>2733</v>
      </c>
      <c r="AW43" s="475">
        <v>12256</v>
      </c>
      <c r="AX43" s="475">
        <v>11205</v>
      </c>
      <c r="AY43" s="475">
        <v>10341</v>
      </c>
      <c r="AZ43" s="475">
        <v>820</v>
      </c>
      <c r="BA43" s="475">
        <v>1585</v>
      </c>
      <c r="BB43" s="475">
        <v>55</v>
      </c>
      <c r="BC43" s="475">
        <v>84</v>
      </c>
      <c r="BD43" s="475">
        <v>17820</v>
      </c>
      <c r="BE43" s="475">
        <v>27154</v>
      </c>
      <c r="BF43" s="475">
        <v>3006</v>
      </c>
      <c r="BG43" s="475">
        <v>11677</v>
      </c>
      <c r="BH43" s="475">
        <v>492</v>
      </c>
      <c r="BI43" s="475">
        <v>4838</v>
      </c>
      <c r="BJ43" s="475">
        <v>656</v>
      </c>
      <c r="BK43" s="475">
        <v>268</v>
      </c>
      <c r="BL43" s="475">
        <v>273</v>
      </c>
      <c r="BM43" s="475">
        <v>4067</v>
      </c>
      <c r="BN43" s="475">
        <v>0</v>
      </c>
      <c r="BO43" s="475">
        <v>0</v>
      </c>
      <c r="BP43" s="475">
        <v>32962</v>
      </c>
      <c r="BQ43" s="475">
        <v>76551</v>
      </c>
      <c r="BR43" s="475">
        <v>40082</v>
      </c>
      <c r="BS43" s="475">
        <v>417084</v>
      </c>
      <c r="BT43" s="475">
        <v>11393</v>
      </c>
      <c r="BU43" s="475">
        <v>49468</v>
      </c>
      <c r="BV43" s="475">
        <v>5140</v>
      </c>
      <c r="BW43" s="475">
        <v>68884</v>
      </c>
      <c r="BX43" s="475">
        <v>12470</v>
      </c>
      <c r="BY43" s="475">
        <v>22020</v>
      </c>
      <c r="BZ43" s="475">
        <v>10228</v>
      </c>
      <c r="CA43" s="475">
        <v>57539</v>
      </c>
      <c r="CB43" s="475">
        <v>7332</v>
      </c>
      <c r="CC43" s="475">
        <v>5010</v>
      </c>
      <c r="CD43" s="475">
        <v>1641</v>
      </c>
      <c r="CE43" s="475">
        <v>2701</v>
      </c>
      <c r="CF43" s="475">
        <v>12580</v>
      </c>
      <c r="CG43" s="475">
        <v>87269</v>
      </c>
      <c r="CH43" s="475">
        <v>9080</v>
      </c>
      <c r="CI43" s="475">
        <v>121083</v>
      </c>
      <c r="CJ43" s="475">
        <v>1314</v>
      </c>
      <c r="CK43" s="475">
        <v>1388</v>
      </c>
      <c r="CL43" s="475">
        <v>9300</v>
      </c>
      <c r="CM43" s="475">
        <v>122471</v>
      </c>
      <c r="CN43" s="475">
        <v>8801</v>
      </c>
      <c r="CO43" s="475">
        <v>24335</v>
      </c>
      <c r="CP43" s="475">
        <v>5685</v>
      </c>
      <c r="CQ43" s="475">
        <v>8452</v>
      </c>
      <c r="CR43" s="475">
        <v>273</v>
      </c>
      <c r="CS43" s="475">
        <v>1697</v>
      </c>
      <c r="CT43" s="475">
        <v>9730</v>
      </c>
      <c r="CU43" s="475">
        <v>34484</v>
      </c>
      <c r="CV43" s="475">
        <v>0</v>
      </c>
      <c r="CW43" s="475">
        <v>0</v>
      </c>
      <c r="CX43" s="475">
        <v>7882</v>
      </c>
      <c r="CY43" s="475">
        <v>54929</v>
      </c>
      <c r="CZ43" s="475">
        <v>12581</v>
      </c>
      <c r="DA43" s="475">
        <v>324131</v>
      </c>
      <c r="DB43" s="475">
        <v>0</v>
      </c>
      <c r="DC43" s="475">
        <v>0</v>
      </c>
      <c r="DD43" s="475">
        <v>28494</v>
      </c>
      <c r="DE43" s="475">
        <v>527785</v>
      </c>
      <c r="DF43" s="475">
        <v>144919</v>
      </c>
      <c r="DG43" s="475">
        <v>947420</v>
      </c>
      <c r="DH43" s="475">
        <v>213493</v>
      </c>
      <c r="DI43" s="475">
        <v>26046</v>
      </c>
      <c r="DJ43" s="475">
        <v>113772</v>
      </c>
      <c r="DK43" s="475">
        <v>43006</v>
      </c>
      <c r="DL43" s="475">
        <v>33906</v>
      </c>
      <c r="DM43" s="475">
        <v>40</v>
      </c>
      <c r="DN43" s="475">
        <v>171982</v>
      </c>
      <c r="DO43" s="475">
        <v>73186</v>
      </c>
      <c r="DP43" s="475">
        <v>437</v>
      </c>
      <c r="DQ43" s="475">
        <v>91</v>
      </c>
      <c r="DR43" s="475">
        <v>51382</v>
      </c>
      <c r="DS43" s="475">
        <v>3419</v>
      </c>
      <c r="DT43" s="475">
        <v>50945</v>
      </c>
      <c r="DU43" s="475">
        <v>3260</v>
      </c>
      <c r="DV43" s="475">
        <v>55</v>
      </c>
      <c r="DW43" s="475">
        <v>2</v>
      </c>
      <c r="DX43" s="475">
        <v>55</v>
      </c>
      <c r="DY43" s="475">
        <v>58</v>
      </c>
      <c r="DZ43" s="475">
        <v>0</v>
      </c>
      <c r="EA43" s="475">
        <v>0</v>
      </c>
      <c r="EB43" s="475">
        <v>2678</v>
      </c>
      <c r="EC43" s="475">
        <v>404</v>
      </c>
      <c r="ED43" s="475">
        <v>153771</v>
      </c>
      <c r="EE43" s="475">
        <v>118080</v>
      </c>
      <c r="EF43" s="475">
        <v>3176</v>
      </c>
      <c r="EG43" s="475">
        <v>4814</v>
      </c>
      <c r="EH43" s="475">
        <v>0</v>
      </c>
      <c r="EI43" s="475">
        <v>0</v>
      </c>
      <c r="EJ43" s="475">
        <v>164</v>
      </c>
      <c r="EK43" s="475">
        <v>46</v>
      </c>
      <c r="EL43" s="475">
        <v>140379</v>
      </c>
      <c r="EM43" s="475">
        <v>74106</v>
      </c>
      <c r="EN43" s="475">
        <v>1536</v>
      </c>
      <c r="EO43" s="475">
        <v>1590</v>
      </c>
      <c r="EP43" s="476">
        <v>0</v>
      </c>
      <c r="EQ43" s="476">
        <v>0</v>
      </c>
      <c r="ER43" s="476">
        <v>0</v>
      </c>
      <c r="ES43" s="476">
        <v>0</v>
      </c>
      <c r="ET43" s="476">
        <v>0</v>
      </c>
      <c r="EU43" s="476">
        <v>0</v>
      </c>
    </row>
    <row r="44" spans="1:151" ht="15.5">
      <c r="A44" s="474" t="s">
        <v>754</v>
      </c>
      <c r="B44" s="475">
        <v>168353</v>
      </c>
      <c r="C44" s="475">
        <v>100271</v>
      </c>
      <c r="D44" s="475">
        <v>6806737</v>
      </c>
      <c r="E44" s="475">
        <v>-326121</v>
      </c>
      <c r="F44" s="475">
        <v>6480616</v>
      </c>
      <c r="G44" s="475">
        <v>1440443</v>
      </c>
      <c r="H44" s="475">
        <v>5066246</v>
      </c>
      <c r="I44" s="475">
        <v>59716</v>
      </c>
      <c r="J44" s="475">
        <v>145356</v>
      </c>
      <c r="K44" s="475">
        <v>5449730</v>
      </c>
      <c r="L44" s="475">
        <v>36662</v>
      </c>
      <c r="M44" s="475">
        <v>32307</v>
      </c>
      <c r="N44" s="475">
        <v>13518</v>
      </c>
      <c r="O44" s="475">
        <v>59583</v>
      </c>
      <c r="P44" s="475">
        <v>22905</v>
      </c>
      <c r="Q44" s="475">
        <v>510724</v>
      </c>
      <c r="R44" s="475">
        <v>18161</v>
      </c>
      <c r="S44" s="475">
        <v>335342</v>
      </c>
      <c r="T44" s="475">
        <v>5685</v>
      </c>
      <c r="U44" s="475">
        <v>-45659</v>
      </c>
      <c r="V44" s="475">
        <v>8966</v>
      </c>
      <c r="W44" s="475">
        <v>51806</v>
      </c>
      <c r="X44" s="475">
        <v>5109</v>
      </c>
      <c r="Y44" s="475">
        <v>-10823</v>
      </c>
      <c r="Z44" s="475">
        <v>3774</v>
      </c>
      <c r="AA44" s="475">
        <v>39084</v>
      </c>
      <c r="AB44" s="475">
        <v>3237</v>
      </c>
      <c r="AC44" s="475">
        <v>-43109</v>
      </c>
      <c r="AD44" s="475">
        <v>2759</v>
      </c>
      <c r="AE44" s="475">
        <v>55738</v>
      </c>
      <c r="AF44" s="475">
        <v>2356</v>
      </c>
      <c r="AG44" s="475">
        <v>23753</v>
      </c>
      <c r="AH44" s="475">
        <v>219</v>
      </c>
      <c r="AI44" s="475">
        <v>960</v>
      </c>
      <c r="AJ44" s="475">
        <v>0</v>
      </c>
      <c r="AK44" s="475">
        <v>0</v>
      </c>
      <c r="AL44" s="475">
        <v>109</v>
      </c>
      <c r="AM44" s="475">
        <v>2500</v>
      </c>
      <c r="AN44" s="475">
        <v>273</v>
      </c>
      <c r="AO44" s="475">
        <v>-12563</v>
      </c>
      <c r="AP44" s="475">
        <v>39588</v>
      </c>
      <c r="AQ44" s="475">
        <v>538190</v>
      </c>
      <c r="AR44" s="475">
        <v>2018</v>
      </c>
      <c r="AS44" s="475">
        <v>52691</v>
      </c>
      <c r="AT44" s="475">
        <v>168353</v>
      </c>
      <c r="AU44" s="475">
        <v>6886930</v>
      </c>
      <c r="AV44" s="475">
        <v>2843</v>
      </c>
      <c r="AW44" s="475">
        <v>14555</v>
      </c>
      <c r="AX44" s="475">
        <v>11588</v>
      </c>
      <c r="AY44" s="475">
        <v>11951</v>
      </c>
      <c r="AZ44" s="475">
        <v>437</v>
      </c>
      <c r="BA44" s="475">
        <v>964</v>
      </c>
      <c r="BB44" s="475">
        <v>55</v>
      </c>
      <c r="BC44" s="475">
        <v>49</v>
      </c>
      <c r="BD44" s="475">
        <v>17767</v>
      </c>
      <c r="BE44" s="475">
        <v>25746</v>
      </c>
      <c r="BF44" s="475">
        <v>2788</v>
      </c>
      <c r="BG44" s="475">
        <v>14042</v>
      </c>
      <c r="BH44" s="475">
        <v>164</v>
      </c>
      <c r="BI44" s="475">
        <v>4253</v>
      </c>
      <c r="BJ44" s="475">
        <v>219</v>
      </c>
      <c r="BK44" s="475">
        <v>47</v>
      </c>
      <c r="BL44" s="475">
        <v>219</v>
      </c>
      <c r="BM44" s="475">
        <v>2990</v>
      </c>
      <c r="BN44" s="475">
        <v>0</v>
      </c>
      <c r="BO44" s="475">
        <v>0</v>
      </c>
      <c r="BP44" s="475">
        <v>32526</v>
      </c>
      <c r="BQ44" s="475">
        <v>80193</v>
      </c>
      <c r="BR44" s="475">
        <v>36419</v>
      </c>
      <c r="BS44" s="475">
        <v>376181</v>
      </c>
      <c r="BT44" s="475">
        <v>9562</v>
      </c>
      <c r="BU44" s="475">
        <v>50060</v>
      </c>
      <c r="BV44" s="475">
        <v>5744</v>
      </c>
      <c r="BW44" s="475">
        <v>96127</v>
      </c>
      <c r="BX44" s="475">
        <v>11429</v>
      </c>
      <c r="BY44" s="475">
        <v>16439</v>
      </c>
      <c r="BZ44" s="475">
        <v>9352</v>
      </c>
      <c r="CA44" s="475">
        <v>50876</v>
      </c>
      <c r="CB44" s="475">
        <v>7326</v>
      </c>
      <c r="CC44" s="475">
        <v>4145</v>
      </c>
      <c r="CD44" s="475">
        <v>1312</v>
      </c>
      <c r="CE44" s="475">
        <v>2122</v>
      </c>
      <c r="CF44" s="475">
        <v>11758</v>
      </c>
      <c r="CG44" s="475">
        <v>73583</v>
      </c>
      <c r="CH44" s="475">
        <v>8259</v>
      </c>
      <c r="CI44" s="475">
        <v>108828</v>
      </c>
      <c r="CJ44" s="475">
        <v>1094</v>
      </c>
      <c r="CK44" s="475">
        <v>2174</v>
      </c>
      <c r="CL44" s="475">
        <v>8368</v>
      </c>
      <c r="CM44" s="475">
        <v>111002</v>
      </c>
      <c r="CN44" s="475">
        <v>8036</v>
      </c>
      <c r="CO44" s="475">
        <v>23581</v>
      </c>
      <c r="CP44" s="475">
        <v>5084</v>
      </c>
      <c r="CQ44" s="475">
        <v>5161</v>
      </c>
      <c r="CR44" s="475">
        <v>273</v>
      </c>
      <c r="CS44" s="475">
        <v>1182</v>
      </c>
      <c r="CT44" s="475">
        <v>8637</v>
      </c>
      <c r="CU44" s="475">
        <v>29924</v>
      </c>
      <c r="CV44" s="475">
        <v>0</v>
      </c>
      <c r="CW44" s="475">
        <v>0</v>
      </c>
      <c r="CX44" s="475">
        <v>7296</v>
      </c>
      <c r="CY44" s="475">
        <v>47449</v>
      </c>
      <c r="CZ44" s="475">
        <v>11868</v>
      </c>
      <c r="DA44" s="475">
        <v>315427</v>
      </c>
      <c r="DB44" s="475">
        <v>0</v>
      </c>
      <c r="DC44" s="475">
        <v>0</v>
      </c>
      <c r="DD44" s="475">
        <v>27840</v>
      </c>
      <c r="DE44" s="475">
        <v>525757</v>
      </c>
      <c r="DF44" s="475">
        <v>140512</v>
      </c>
      <c r="DG44" s="475">
        <v>914686</v>
      </c>
      <c r="DH44" s="475">
        <v>206751</v>
      </c>
      <c r="DI44" s="475">
        <v>25224</v>
      </c>
      <c r="DJ44" s="475">
        <v>108451</v>
      </c>
      <c r="DK44" s="475">
        <v>40994</v>
      </c>
      <c r="DL44" s="475">
        <v>32486</v>
      </c>
      <c r="DM44" s="475">
        <v>47</v>
      </c>
      <c r="DN44" s="475">
        <v>167369</v>
      </c>
      <c r="DO44" s="475">
        <v>70181</v>
      </c>
      <c r="DP44" s="475">
        <v>492</v>
      </c>
      <c r="DQ44" s="475">
        <v>119</v>
      </c>
      <c r="DR44" s="475">
        <v>49195</v>
      </c>
      <c r="DS44" s="475">
        <v>3366</v>
      </c>
      <c r="DT44" s="475">
        <v>48758</v>
      </c>
      <c r="DU44" s="475">
        <v>3125</v>
      </c>
      <c r="DV44" s="475">
        <v>0</v>
      </c>
      <c r="DW44" s="475">
        <v>0</v>
      </c>
      <c r="DX44" s="475">
        <v>55</v>
      </c>
      <c r="DY44" s="475">
        <v>10</v>
      </c>
      <c r="DZ44" s="475">
        <v>0</v>
      </c>
      <c r="EA44" s="475">
        <v>0</v>
      </c>
      <c r="EB44" s="475">
        <v>3990</v>
      </c>
      <c r="EC44" s="475">
        <v>588</v>
      </c>
      <c r="ED44" s="475">
        <v>149784</v>
      </c>
      <c r="EE44" s="475">
        <v>116310</v>
      </c>
      <c r="EF44" s="475">
        <v>2625</v>
      </c>
      <c r="EG44" s="475">
        <v>2604</v>
      </c>
      <c r="EH44" s="475">
        <v>0</v>
      </c>
      <c r="EI44" s="475">
        <v>0</v>
      </c>
      <c r="EJ44" s="475">
        <v>164</v>
      </c>
      <c r="EK44" s="475">
        <v>75</v>
      </c>
      <c r="EL44" s="475">
        <v>135189</v>
      </c>
      <c r="EM44" s="475">
        <v>67218</v>
      </c>
      <c r="EN44" s="475">
        <v>1203</v>
      </c>
      <c r="EO44" s="475">
        <v>622</v>
      </c>
      <c r="EP44" s="476">
        <v>0</v>
      </c>
      <c r="EQ44" s="476">
        <v>0</v>
      </c>
      <c r="ER44" s="476">
        <v>0</v>
      </c>
      <c r="ES44" s="476">
        <v>0</v>
      </c>
      <c r="ET44" s="476">
        <v>0</v>
      </c>
      <c r="EU44" s="476">
        <v>0</v>
      </c>
    </row>
    <row r="45" spans="1:151" ht="15.5">
      <c r="A45" s="474" t="s">
        <v>755</v>
      </c>
      <c r="B45" s="475">
        <v>165989</v>
      </c>
      <c r="C45" s="475">
        <v>100156</v>
      </c>
      <c r="D45" s="475">
        <v>6863496</v>
      </c>
      <c r="E45" s="475">
        <v>-308063</v>
      </c>
      <c r="F45" s="475">
        <v>6555433</v>
      </c>
      <c r="G45" s="475">
        <v>1438001</v>
      </c>
      <c r="H45" s="475">
        <v>5167394</v>
      </c>
      <c r="I45" s="475">
        <v>64107</v>
      </c>
      <c r="J45" s="475">
        <v>144535</v>
      </c>
      <c r="K45" s="475">
        <v>5530540</v>
      </c>
      <c r="L45" s="475">
        <v>37165</v>
      </c>
      <c r="M45" s="475">
        <v>36296</v>
      </c>
      <c r="N45" s="475">
        <v>16798</v>
      </c>
      <c r="O45" s="475">
        <v>72185</v>
      </c>
      <c r="P45" s="475">
        <v>21440</v>
      </c>
      <c r="Q45" s="475">
        <v>476775</v>
      </c>
      <c r="R45" s="475">
        <v>15974</v>
      </c>
      <c r="S45" s="475">
        <v>292697</v>
      </c>
      <c r="T45" s="475">
        <v>5958</v>
      </c>
      <c r="U45" s="475">
        <v>-55659</v>
      </c>
      <c r="V45" s="475">
        <v>10345</v>
      </c>
      <c r="W45" s="475">
        <v>62732</v>
      </c>
      <c r="X45" s="475">
        <v>6410</v>
      </c>
      <c r="Y45" s="475">
        <v>-14644</v>
      </c>
      <c r="Z45" s="475">
        <v>4047</v>
      </c>
      <c r="AA45" s="475">
        <v>55887</v>
      </c>
      <c r="AB45" s="475">
        <v>2734</v>
      </c>
      <c r="AC45" s="475">
        <v>-33477</v>
      </c>
      <c r="AD45" s="475">
        <v>2879</v>
      </c>
      <c r="AE45" s="475">
        <v>74522</v>
      </c>
      <c r="AF45" s="475">
        <v>2101</v>
      </c>
      <c r="AG45" s="475">
        <v>29554</v>
      </c>
      <c r="AH45" s="475">
        <v>220</v>
      </c>
      <c r="AI45" s="475">
        <v>3143</v>
      </c>
      <c r="AJ45" s="475">
        <v>55</v>
      </c>
      <c r="AK45" s="475">
        <v>3268</v>
      </c>
      <c r="AL45" s="475">
        <v>0</v>
      </c>
      <c r="AM45" s="475">
        <v>0</v>
      </c>
      <c r="AN45" s="475">
        <v>285</v>
      </c>
      <c r="AO45" s="475">
        <v>-6628</v>
      </c>
      <c r="AP45" s="475">
        <v>40001</v>
      </c>
      <c r="AQ45" s="475">
        <v>569186</v>
      </c>
      <c r="AR45" s="475">
        <v>2452</v>
      </c>
      <c r="AS45" s="475">
        <v>98034</v>
      </c>
      <c r="AT45" s="475">
        <v>165934</v>
      </c>
      <c r="AU45" s="475">
        <v>6934483</v>
      </c>
      <c r="AV45" s="475">
        <v>3203</v>
      </c>
      <c r="AW45" s="475">
        <v>16514</v>
      </c>
      <c r="AX45" s="475">
        <v>14048</v>
      </c>
      <c r="AY45" s="475">
        <v>14633</v>
      </c>
      <c r="AZ45" s="475">
        <v>383</v>
      </c>
      <c r="BA45" s="475">
        <v>326</v>
      </c>
      <c r="BB45" s="475">
        <v>55</v>
      </c>
      <c r="BC45" s="475">
        <v>49</v>
      </c>
      <c r="BD45" s="475">
        <v>15548</v>
      </c>
      <c r="BE45" s="475">
        <v>22414</v>
      </c>
      <c r="BF45" s="475">
        <v>3017</v>
      </c>
      <c r="BG45" s="475">
        <v>13040</v>
      </c>
      <c r="BH45" s="475">
        <v>329</v>
      </c>
      <c r="BI45" s="475">
        <v>2222</v>
      </c>
      <c r="BJ45" s="475">
        <v>328</v>
      </c>
      <c r="BK45" s="475">
        <v>55</v>
      </c>
      <c r="BL45" s="475">
        <v>273</v>
      </c>
      <c r="BM45" s="475">
        <v>1505</v>
      </c>
      <c r="BN45" s="475">
        <v>0</v>
      </c>
      <c r="BO45" s="475">
        <v>0</v>
      </c>
      <c r="BP45" s="475">
        <v>32689</v>
      </c>
      <c r="BQ45" s="475">
        <v>73964</v>
      </c>
      <c r="BR45" s="475">
        <v>35776</v>
      </c>
      <c r="BS45" s="475">
        <v>406998</v>
      </c>
      <c r="BT45" s="475">
        <v>11374</v>
      </c>
      <c r="BU45" s="475">
        <v>98935</v>
      </c>
      <c r="BV45" s="475">
        <v>5325</v>
      </c>
      <c r="BW45" s="475">
        <v>98659</v>
      </c>
      <c r="BX45" s="475">
        <v>11022</v>
      </c>
      <c r="BY45" s="475">
        <v>21030</v>
      </c>
      <c r="BZ45" s="475">
        <v>9384</v>
      </c>
      <c r="CA45" s="475">
        <v>52035</v>
      </c>
      <c r="CB45" s="475">
        <v>7830</v>
      </c>
      <c r="CC45" s="475">
        <v>4607</v>
      </c>
      <c r="CD45" s="475">
        <v>985</v>
      </c>
      <c r="CE45" s="475">
        <v>863</v>
      </c>
      <c r="CF45" s="475">
        <v>11461</v>
      </c>
      <c r="CG45" s="475">
        <v>78534</v>
      </c>
      <c r="CH45" s="475">
        <v>8453</v>
      </c>
      <c r="CI45" s="475">
        <v>113460</v>
      </c>
      <c r="CJ45" s="475">
        <v>1269</v>
      </c>
      <c r="CK45" s="475">
        <v>2625</v>
      </c>
      <c r="CL45" s="475">
        <v>8617</v>
      </c>
      <c r="CM45" s="475">
        <v>116085</v>
      </c>
      <c r="CN45" s="475">
        <v>7763</v>
      </c>
      <c r="CO45" s="475">
        <v>26216</v>
      </c>
      <c r="CP45" s="475">
        <v>5412</v>
      </c>
      <c r="CQ45" s="475">
        <v>6283</v>
      </c>
      <c r="CR45" s="475">
        <v>164</v>
      </c>
      <c r="CS45" s="475">
        <v>441</v>
      </c>
      <c r="CT45" s="475">
        <v>8364</v>
      </c>
      <c r="CU45" s="475">
        <v>32940</v>
      </c>
      <c r="CV45" s="475">
        <v>0</v>
      </c>
      <c r="CW45" s="475">
        <v>0</v>
      </c>
      <c r="CX45" s="475">
        <v>8102</v>
      </c>
      <c r="CY45" s="475">
        <v>46483</v>
      </c>
      <c r="CZ45" s="475">
        <v>11680</v>
      </c>
      <c r="DA45" s="475">
        <v>324857</v>
      </c>
      <c r="DB45" s="475">
        <v>55</v>
      </c>
      <c r="DC45" s="475">
        <v>354</v>
      </c>
      <c r="DD45" s="475">
        <v>28190</v>
      </c>
      <c r="DE45" s="475">
        <v>530440</v>
      </c>
      <c r="DF45" s="475">
        <v>137798</v>
      </c>
      <c r="DG45" s="475">
        <v>907561</v>
      </c>
      <c r="DH45" s="475">
        <v>203995</v>
      </c>
      <c r="DI45" s="475">
        <v>24887</v>
      </c>
      <c r="DJ45" s="475">
        <v>109341</v>
      </c>
      <c r="DK45" s="475">
        <v>41331</v>
      </c>
      <c r="DL45" s="475">
        <v>30584</v>
      </c>
      <c r="DM45" s="475">
        <v>33</v>
      </c>
      <c r="DN45" s="475">
        <v>164785</v>
      </c>
      <c r="DO45" s="475">
        <v>69949</v>
      </c>
      <c r="DP45" s="475">
        <v>328</v>
      </c>
      <c r="DQ45" s="475">
        <v>55</v>
      </c>
      <c r="DR45" s="475">
        <v>48976</v>
      </c>
      <c r="DS45" s="475">
        <v>3313</v>
      </c>
      <c r="DT45" s="475">
        <v>48430</v>
      </c>
      <c r="DU45" s="475">
        <v>3197</v>
      </c>
      <c r="DV45" s="475">
        <v>0</v>
      </c>
      <c r="DW45" s="475">
        <v>0</v>
      </c>
      <c r="DX45" s="475">
        <v>55</v>
      </c>
      <c r="DY45" s="475">
        <v>59</v>
      </c>
      <c r="DZ45" s="475">
        <v>0</v>
      </c>
      <c r="EA45" s="475">
        <v>0</v>
      </c>
      <c r="EB45" s="475">
        <v>3455</v>
      </c>
      <c r="EC45" s="475">
        <v>462</v>
      </c>
      <c r="ED45" s="475">
        <v>147635</v>
      </c>
      <c r="EE45" s="475">
        <v>123667</v>
      </c>
      <c r="EF45" s="475">
        <v>3894</v>
      </c>
      <c r="EG45" s="475">
        <v>5586</v>
      </c>
      <c r="EH45" s="475">
        <v>0</v>
      </c>
      <c r="EI45" s="475">
        <v>0</v>
      </c>
      <c r="EJ45" s="475">
        <v>219</v>
      </c>
      <c r="EK45" s="475">
        <v>8</v>
      </c>
      <c r="EL45" s="475">
        <v>133930</v>
      </c>
      <c r="EM45" s="475">
        <v>73497</v>
      </c>
      <c r="EN45" s="475">
        <v>1598</v>
      </c>
      <c r="EO45" s="475">
        <v>908</v>
      </c>
      <c r="EP45" s="476">
        <v>0</v>
      </c>
      <c r="EQ45" s="476">
        <v>0</v>
      </c>
      <c r="ER45" s="476">
        <v>0</v>
      </c>
      <c r="ES45" s="476">
        <v>0</v>
      </c>
      <c r="ET45" s="476">
        <v>0</v>
      </c>
      <c r="EU45" s="476">
        <v>0</v>
      </c>
    </row>
    <row r="46" spans="1:151" ht="15.5">
      <c r="A46" s="474" t="s">
        <v>756</v>
      </c>
      <c r="B46" s="475">
        <v>1399688</v>
      </c>
      <c r="C46" s="475">
        <v>908553</v>
      </c>
      <c r="D46" s="475">
        <v>66385046</v>
      </c>
      <c r="E46" s="475">
        <v>-3656215</v>
      </c>
      <c r="F46" s="475">
        <v>62729174</v>
      </c>
      <c r="G46" s="475">
        <v>12749592</v>
      </c>
      <c r="H46" s="475">
        <v>50253222</v>
      </c>
      <c r="I46" s="475">
        <v>757159</v>
      </c>
      <c r="J46" s="475">
        <v>1207744</v>
      </c>
      <c r="K46" s="475">
        <v>52177700</v>
      </c>
      <c r="L46" s="475">
        <v>370904</v>
      </c>
      <c r="M46" s="475">
        <v>369328</v>
      </c>
      <c r="N46" s="475">
        <v>152915</v>
      </c>
      <c r="O46" s="475">
        <v>655873</v>
      </c>
      <c r="P46" s="475">
        <v>205227</v>
      </c>
      <c r="Q46" s="475">
        <v>4880967</v>
      </c>
      <c r="R46" s="475">
        <v>145071</v>
      </c>
      <c r="S46" s="475">
        <v>2949980</v>
      </c>
      <c r="T46" s="475">
        <v>57019</v>
      </c>
      <c r="U46" s="475">
        <v>-468876</v>
      </c>
      <c r="V46" s="475">
        <v>91750</v>
      </c>
      <c r="W46" s="475">
        <v>578926</v>
      </c>
      <c r="X46" s="475">
        <v>56314</v>
      </c>
      <c r="Y46" s="475">
        <v>-123987</v>
      </c>
      <c r="Z46" s="475">
        <v>40419</v>
      </c>
      <c r="AA46" s="475">
        <v>526509</v>
      </c>
      <c r="AB46" s="475">
        <v>28861</v>
      </c>
      <c r="AC46" s="475">
        <v>-324001</v>
      </c>
      <c r="AD46" s="475">
        <v>28241</v>
      </c>
      <c r="AE46" s="475">
        <v>761823</v>
      </c>
      <c r="AF46" s="475">
        <v>19140</v>
      </c>
      <c r="AG46" s="475">
        <v>311620</v>
      </c>
      <c r="AH46" s="475">
        <v>3559</v>
      </c>
      <c r="AI46" s="475">
        <v>62577</v>
      </c>
      <c r="AJ46" s="475">
        <v>440</v>
      </c>
      <c r="AK46" s="475">
        <v>3851</v>
      </c>
      <c r="AL46" s="475">
        <v>492</v>
      </c>
      <c r="AM46" s="475">
        <v>17560</v>
      </c>
      <c r="AN46" s="475">
        <v>2301</v>
      </c>
      <c r="AO46" s="475">
        <v>-96379</v>
      </c>
      <c r="AP46" s="475">
        <v>368170</v>
      </c>
      <c r="AQ46" s="475">
        <v>5975075</v>
      </c>
      <c r="AR46" s="475">
        <v>19625</v>
      </c>
      <c r="AS46" s="475">
        <v>484302</v>
      </c>
      <c r="AT46" s="475">
        <v>1399251</v>
      </c>
      <c r="AU46" s="475">
        <v>67148124</v>
      </c>
      <c r="AV46" s="475">
        <v>27059</v>
      </c>
      <c r="AW46" s="475">
        <v>141319</v>
      </c>
      <c r="AX46" s="475">
        <v>123483</v>
      </c>
      <c r="AY46" s="475">
        <v>132580</v>
      </c>
      <c r="AZ46" s="475">
        <v>5690</v>
      </c>
      <c r="BA46" s="475">
        <v>12078</v>
      </c>
      <c r="BB46" s="475">
        <v>383</v>
      </c>
      <c r="BC46" s="475">
        <v>699</v>
      </c>
      <c r="BD46" s="475">
        <v>143050</v>
      </c>
      <c r="BE46" s="475">
        <v>226499</v>
      </c>
      <c r="BF46" s="475">
        <v>31403</v>
      </c>
      <c r="BG46" s="475">
        <v>165466</v>
      </c>
      <c r="BH46" s="475">
        <v>4594</v>
      </c>
      <c r="BI46" s="475">
        <v>41709</v>
      </c>
      <c r="BJ46" s="475">
        <v>3170</v>
      </c>
      <c r="BK46" s="475">
        <v>605</v>
      </c>
      <c r="BL46" s="475">
        <v>2350</v>
      </c>
      <c r="BM46" s="475">
        <v>21003</v>
      </c>
      <c r="BN46" s="475">
        <v>0</v>
      </c>
      <c r="BO46" s="475">
        <v>0</v>
      </c>
      <c r="BP46" s="475">
        <v>302567</v>
      </c>
      <c r="BQ46" s="475">
        <v>791012</v>
      </c>
      <c r="BR46" s="475">
        <v>332792</v>
      </c>
      <c r="BS46" s="475">
        <v>4257857</v>
      </c>
      <c r="BT46" s="475">
        <v>108816</v>
      </c>
      <c r="BU46" s="475">
        <v>601642</v>
      </c>
      <c r="BV46" s="475">
        <v>48429</v>
      </c>
      <c r="BW46" s="475">
        <v>737908</v>
      </c>
      <c r="BX46" s="475">
        <v>120110</v>
      </c>
      <c r="BY46" s="475">
        <v>243223</v>
      </c>
      <c r="BZ46" s="475">
        <v>104484</v>
      </c>
      <c r="CA46" s="475">
        <v>561710</v>
      </c>
      <c r="CB46" s="475">
        <v>77546</v>
      </c>
      <c r="CC46" s="475">
        <v>47963</v>
      </c>
      <c r="CD46" s="475">
        <v>14545</v>
      </c>
      <c r="CE46" s="475">
        <v>15914</v>
      </c>
      <c r="CF46" s="475">
        <v>121273</v>
      </c>
      <c r="CG46" s="475">
        <v>868810</v>
      </c>
      <c r="CH46" s="475">
        <v>96774</v>
      </c>
      <c r="CI46" s="475">
        <v>1253858</v>
      </c>
      <c r="CJ46" s="475">
        <v>12834</v>
      </c>
      <c r="CK46" s="475">
        <v>28079</v>
      </c>
      <c r="CL46" s="475">
        <v>98090</v>
      </c>
      <c r="CM46" s="475">
        <v>1281937</v>
      </c>
      <c r="CN46" s="475">
        <v>83978</v>
      </c>
      <c r="CO46" s="475">
        <v>253848</v>
      </c>
      <c r="CP46" s="475">
        <v>63475</v>
      </c>
      <c r="CQ46" s="475">
        <v>78907</v>
      </c>
      <c r="CR46" s="475">
        <v>1643</v>
      </c>
      <c r="CS46" s="475">
        <v>9002</v>
      </c>
      <c r="CT46" s="475">
        <v>94803</v>
      </c>
      <c r="CU46" s="475">
        <v>341757</v>
      </c>
      <c r="CV46" s="475">
        <v>0</v>
      </c>
      <c r="CW46" s="475">
        <v>0</v>
      </c>
      <c r="CX46" s="475">
        <v>78123</v>
      </c>
      <c r="CY46" s="475">
        <v>484261</v>
      </c>
      <c r="CZ46" s="475">
        <v>121492</v>
      </c>
      <c r="DA46" s="475">
        <v>3252914</v>
      </c>
      <c r="DB46" s="475">
        <v>765</v>
      </c>
      <c r="DC46" s="475">
        <v>834</v>
      </c>
      <c r="DD46" s="475">
        <v>286495</v>
      </c>
      <c r="DE46" s="475">
        <v>5389992</v>
      </c>
      <c r="DF46" s="475">
        <v>1112975</v>
      </c>
      <c r="DG46" s="475">
        <v>7359600</v>
      </c>
      <c r="DH46" s="475">
        <v>1771617</v>
      </c>
      <c r="DI46" s="475">
        <v>216137</v>
      </c>
      <c r="DJ46" s="475">
        <v>942497</v>
      </c>
      <c r="DK46" s="475">
        <v>356264</v>
      </c>
      <c r="DL46" s="475">
        <v>283296</v>
      </c>
      <c r="DM46" s="475">
        <v>273</v>
      </c>
      <c r="DN46" s="475">
        <v>1394579</v>
      </c>
      <c r="DO46" s="475">
        <v>606949</v>
      </c>
      <c r="DP46" s="475">
        <v>3939</v>
      </c>
      <c r="DQ46" s="475">
        <v>856</v>
      </c>
      <c r="DR46" s="475">
        <v>221788</v>
      </c>
      <c r="DS46" s="475">
        <v>17804</v>
      </c>
      <c r="DT46" s="475">
        <v>203199</v>
      </c>
      <c r="DU46" s="475">
        <v>14582</v>
      </c>
      <c r="DV46" s="475">
        <v>55</v>
      </c>
      <c r="DW46" s="475">
        <v>1</v>
      </c>
      <c r="DX46" s="475">
        <v>276</v>
      </c>
      <c r="DY46" s="475">
        <v>294</v>
      </c>
      <c r="DZ46" s="475">
        <v>0</v>
      </c>
      <c r="EA46" s="475">
        <v>0</v>
      </c>
      <c r="EB46" s="475">
        <v>33454</v>
      </c>
      <c r="EC46" s="475">
        <v>5569</v>
      </c>
      <c r="ED46" s="475">
        <v>1262608</v>
      </c>
      <c r="EE46" s="475">
        <v>1336040</v>
      </c>
      <c r="EF46" s="475">
        <v>38066</v>
      </c>
      <c r="EG46" s="475">
        <v>60260</v>
      </c>
      <c r="EH46" s="475" t="s">
        <v>714</v>
      </c>
      <c r="EI46" s="475">
        <v>1</v>
      </c>
      <c r="EJ46" s="475">
        <v>14048</v>
      </c>
      <c r="EK46" s="475">
        <v>1311</v>
      </c>
      <c r="EL46" s="475">
        <v>1125744</v>
      </c>
      <c r="EM46" s="475">
        <v>733724</v>
      </c>
      <c r="EN46" s="475">
        <v>17528</v>
      </c>
      <c r="EO46" s="475">
        <v>23065</v>
      </c>
      <c r="EP46" s="476">
        <v>0</v>
      </c>
      <c r="EQ46" s="476">
        <v>0</v>
      </c>
      <c r="ER46" s="476">
        <v>0</v>
      </c>
      <c r="ES46" s="476">
        <v>0</v>
      </c>
      <c r="ET46" s="476">
        <v>0</v>
      </c>
      <c r="EU46" s="476">
        <v>0</v>
      </c>
    </row>
    <row r="47" spans="1:151" ht="15.5">
      <c r="A47" s="474" t="s">
        <v>757</v>
      </c>
      <c r="B47" s="475">
        <v>1130682</v>
      </c>
      <c r="C47" s="475">
        <v>871687</v>
      </c>
      <c r="D47" s="475">
        <v>65204600</v>
      </c>
      <c r="E47" s="475">
        <v>-3222254</v>
      </c>
      <c r="F47" s="475">
        <v>61982346</v>
      </c>
      <c r="G47" s="475">
        <v>14648548</v>
      </c>
      <c r="H47" s="475">
        <v>50821586</v>
      </c>
      <c r="I47" s="475">
        <v>1004832</v>
      </c>
      <c r="J47" s="475">
        <v>983975</v>
      </c>
      <c r="K47" s="475">
        <v>51738991</v>
      </c>
      <c r="L47" s="475">
        <v>368249</v>
      </c>
      <c r="M47" s="475">
        <v>390332</v>
      </c>
      <c r="N47" s="475">
        <v>148474</v>
      </c>
      <c r="O47" s="475">
        <v>667802</v>
      </c>
      <c r="P47" s="475">
        <v>177769</v>
      </c>
      <c r="Q47" s="475">
        <v>4990463</v>
      </c>
      <c r="R47" s="475">
        <v>112944</v>
      </c>
      <c r="S47" s="475">
        <v>2350486</v>
      </c>
      <c r="T47" s="475">
        <v>51571</v>
      </c>
      <c r="U47" s="475">
        <v>-440835</v>
      </c>
      <c r="V47" s="475">
        <v>86151</v>
      </c>
      <c r="W47" s="475">
        <v>611842</v>
      </c>
      <c r="X47" s="475">
        <v>54532</v>
      </c>
      <c r="Y47" s="475">
        <v>-118012</v>
      </c>
      <c r="Z47" s="475">
        <v>39285</v>
      </c>
      <c r="AA47" s="475">
        <v>517488</v>
      </c>
      <c r="AB47" s="475">
        <v>31846</v>
      </c>
      <c r="AC47" s="475">
        <v>-364463</v>
      </c>
      <c r="AD47" s="475">
        <v>29275</v>
      </c>
      <c r="AE47" s="475">
        <v>854802</v>
      </c>
      <c r="AF47" s="475">
        <v>19180</v>
      </c>
      <c r="AG47" s="475">
        <v>455339</v>
      </c>
      <c r="AH47" s="475">
        <v>3938</v>
      </c>
      <c r="AI47" s="475">
        <v>56467</v>
      </c>
      <c r="AJ47" s="475">
        <v>656</v>
      </c>
      <c r="AK47" s="475">
        <v>9327</v>
      </c>
      <c r="AL47" s="475">
        <v>711</v>
      </c>
      <c r="AM47" s="475">
        <v>17809</v>
      </c>
      <c r="AN47" s="475">
        <v>1928</v>
      </c>
      <c r="AO47" s="475">
        <v>-41194</v>
      </c>
      <c r="AP47" s="475">
        <v>331070</v>
      </c>
      <c r="AQ47" s="475">
        <v>5681211</v>
      </c>
      <c r="AR47" s="475">
        <v>17111</v>
      </c>
      <c r="AS47" s="475">
        <v>539297</v>
      </c>
      <c r="AT47" s="475">
        <v>1129917</v>
      </c>
      <c r="AU47" s="475">
        <v>65914074</v>
      </c>
      <c r="AV47" s="475">
        <v>25532</v>
      </c>
      <c r="AW47" s="475">
        <v>132696</v>
      </c>
      <c r="AX47" s="475">
        <v>119550</v>
      </c>
      <c r="AY47" s="475">
        <v>138875</v>
      </c>
      <c r="AZ47" s="475">
        <v>9074</v>
      </c>
      <c r="BA47" s="475">
        <v>14030</v>
      </c>
      <c r="BB47" s="475">
        <v>219</v>
      </c>
      <c r="BC47" s="475">
        <v>384</v>
      </c>
      <c r="BD47" s="475">
        <v>110826</v>
      </c>
      <c r="BE47" s="475">
        <v>181937</v>
      </c>
      <c r="BF47" s="475">
        <v>25785</v>
      </c>
      <c r="BG47" s="475">
        <v>152048</v>
      </c>
      <c r="BH47" s="475">
        <v>2898</v>
      </c>
      <c r="BI47" s="475">
        <v>42532</v>
      </c>
      <c r="BJ47" s="475">
        <v>3040</v>
      </c>
      <c r="BK47" s="475">
        <v>563</v>
      </c>
      <c r="BL47" s="475">
        <v>3553</v>
      </c>
      <c r="BM47" s="475">
        <v>45448</v>
      </c>
      <c r="BN47" s="475">
        <v>0</v>
      </c>
      <c r="BO47" s="475">
        <v>0</v>
      </c>
      <c r="BP47" s="475">
        <v>266262</v>
      </c>
      <c r="BQ47" s="475">
        <v>752716</v>
      </c>
      <c r="BR47" s="475">
        <v>295278</v>
      </c>
      <c r="BS47" s="475">
        <v>3955685</v>
      </c>
      <c r="BT47" s="475">
        <v>114957</v>
      </c>
      <c r="BU47" s="475">
        <v>733431</v>
      </c>
      <c r="BV47" s="475">
        <v>50867</v>
      </c>
      <c r="BW47" s="475">
        <v>767272</v>
      </c>
      <c r="BX47" s="475">
        <v>137439</v>
      </c>
      <c r="BY47" s="475">
        <v>363261</v>
      </c>
      <c r="BZ47" s="475">
        <v>120262</v>
      </c>
      <c r="CA47" s="475">
        <v>619404</v>
      </c>
      <c r="CB47" s="475">
        <v>91945</v>
      </c>
      <c r="CC47" s="475">
        <v>56315</v>
      </c>
      <c r="CD47" s="475">
        <v>17166</v>
      </c>
      <c r="CE47" s="475">
        <v>19514</v>
      </c>
      <c r="CF47" s="475">
        <v>138721</v>
      </c>
      <c r="CG47" s="475">
        <v>1058495</v>
      </c>
      <c r="CH47" s="475">
        <v>111871</v>
      </c>
      <c r="CI47" s="475">
        <v>1492294</v>
      </c>
      <c r="CJ47" s="475">
        <v>14057</v>
      </c>
      <c r="CK47" s="475">
        <v>26852</v>
      </c>
      <c r="CL47" s="475">
        <v>113746</v>
      </c>
      <c r="CM47" s="475">
        <v>1519146</v>
      </c>
      <c r="CN47" s="475">
        <v>94276</v>
      </c>
      <c r="CO47" s="475">
        <v>310442</v>
      </c>
      <c r="CP47" s="475">
        <v>70204</v>
      </c>
      <c r="CQ47" s="475">
        <v>96686</v>
      </c>
      <c r="CR47" s="475">
        <v>1587</v>
      </c>
      <c r="CS47" s="475">
        <v>14412</v>
      </c>
      <c r="CT47" s="475">
        <v>107890</v>
      </c>
      <c r="CU47" s="475">
        <v>421540</v>
      </c>
      <c r="CV47" s="475">
        <v>0</v>
      </c>
      <c r="CW47" s="475">
        <v>0</v>
      </c>
      <c r="CX47" s="475">
        <v>80203</v>
      </c>
      <c r="CY47" s="475">
        <v>3729725</v>
      </c>
      <c r="CZ47" s="475">
        <v>138831</v>
      </c>
      <c r="DA47" s="475">
        <v>3764174</v>
      </c>
      <c r="DB47" s="475">
        <v>601</v>
      </c>
      <c r="DC47" s="475">
        <v>53</v>
      </c>
      <c r="DD47" s="475">
        <v>300266</v>
      </c>
      <c r="DE47" s="475">
        <v>9046723</v>
      </c>
      <c r="DF47" s="475">
        <v>830142</v>
      </c>
      <c r="DG47" s="475">
        <v>5601825</v>
      </c>
      <c r="DH47" s="475">
        <v>1483278</v>
      </c>
      <c r="DI47" s="475">
        <v>180960</v>
      </c>
      <c r="DJ47" s="475">
        <v>761285</v>
      </c>
      <c r="DK47" s="475">
        <v>287766</v>
      </c>
      <c r="DL47" s="475">
        <v>237915</v>
      </c>
      <c r="DM47" s="475">
        <v>234</v>
      </c>
      <c r="DN47" s="475">
        <v>1127879</v>
      </c>
      <c r="DO47" s="475">
        <v>497744</v>
      </c>
      <c r="DP47" s="475">
        <v>3937</v>
      </c>
      <c r="DQ47" s="475">
        <v>1257</v>
      </c>
      <c r="DR47" s="475">
        <v>145481</v>
      </c>
      <c r="DS47" s="475">
        <v>19639</v>
      </c>
      <c r="DT47" s="475">
        <v>127922</v>
      </c>
      <c r="DU47" s="475">
        <v>14114</v>
      </c>
      <c r="DV47" s="475">
        <v>55</v>
      </c>
      <c r="DW47" s="475">
        <v>2</v>
      </c>
      <c r="DX47" s="475">
        <v>276</v>
      </c>
      <c r="DY47" s="475">
        <v>255</v>
      </c>
      <c r="DZ47" s="475">
        <v>0</v>
      </c>
      <c r="EA47" s="475">
        <v>0</v>
      </c>
      <c r="EB47" s="475">
        <v>30241</v>
      </c>
      <c r="EC47" s="475">
        <v>6202</v>
      </c>
      <c r="ED47" s="475">
        <v>1040614</v>
      </c>
      <c r="EE47" s="475">
        <v>1637416</v>
      </c>
      <c r="EF47" s="475">
        <v>43332</v>
      </c>
      <c r="EG47" s="475">
        <v>71845</v>
      </c>
      <c r="EH47" s="475">
        <v>198</v>
      </c>
      <c r="EI47" s="475">
        <v>23</v>
      </c>
      <c r="EJ47" s="475">
        <v>18421</v>
      </c>
      <c r="EK47" s="475">
        <v>3273</v>
      </c>
      <c r="EL47" s="475">
        <v>916670</v>
      </c>
      <c r="EM47" s="475">
        <v>820759</v>
      </c>
      <c r="EN47" s="475">
        <v>17559</v>
      </c>
      <c r="EO47" s="475">
        <v>21772</v>
      </c>
      <c r="EP47" s="476">
        <v>0</v>
      </c>
      <c r="EQ47" s="476">
        <v>0</v>
      </c>
      <c r="ER47" s="476">
        <v>0</v>
      </c>
      <c r="ES47" s="476">
        <v>0</v>
      </c>
      <c r="ET47" s="476">
        <v>0</v>
      </c>
      <c r="EU47" s="476">
        <v>0</v>
      </c>
    </row>
    <row r="48" spans="1:151" ht="15.5">
      <c r="A48" s="474" t="s">
        <v>758</v>
      </c>
      <c r="B48" s="475">
        <v>909932</v>
      </c>
      <c r="C48" s="475">
        <v>788093</v>
      </c>
      <c r="D48" s="475">
        <v>61826603</v>
      </c>
      <c r="E48" s="475">
        <v>-2856752</v>
      </c>
      <c r="F48" s="475">
        <v>58969867</v>
      </c>
      <c r="G48" s="475">
        <v>10356534</v>
      </c>
      <c r="H48" s="475">
        <v>48804625</v>
      </c>
      <c r="I48" s="475">
        <v>1167416</v>
      </c>
      <c r="J48" s="475">
        <v>789144</v>
      </c>
      <c r="K48" s="475">
        <v>48532565</v>
      </c>
      <c r="L48" s="475">
        <v>351143</v>
      </c>
      <c r="M48" s="475">
        <v>399247</v>
      </c>
      <c r="N48" s="475">
        <v>144605</v>
      </c>
      <c r="O48" s="475">
        <v>688475</v>
      </c>
      <c r="P48" s="475">
        <v>157058</v>
      </c>
      <c r="Q48" s="475">
        <v>4996386</v>
      </c>
      <c r="R48" s="475">
        <v>98791</v>
      </c>
      <c r="S48" s="475">
        <v>2284148</v>
      </c>
      <c r="T48" s="475">
        <v>44583</v>
      </c>
      <c r="U48" s="475">
        <v>-404211</v>
      </c>
      <c r="V48" s="475">
        <v>85667</v>
      </c>
      <c r="W48" s="475">
        <v>680753</v>
      </c>
      <c r="X48" s="475">
        <v>52405</v>
      </c>
      <c r="Y48" s="475">
        <v>-113174</v>
      </c>
      <c r="Z48" s="475">
        <v>36701</v>
      </c>
      <c r="AA48" s="475">
        <v>542674</v>
      </c>
      <c r="AB48" s="475">
        <v>30146</v>
      </c>
      <c r="AC48" s="475">
        <v>-361983</v>
      </c>
      <c r="AD48" s="475">
        <v>30354</v>
      </c>
      <c r="AE48" s="475">
        <v>918383</v>
      </c>
      <c r="AF48" s="475">
        <v>18555</v>
      </c>
      <c r="AG48" s="475">
        <v>371324</v>
      </c>
      <c r="AH48" s="475">
        <v>3871</v>
      </c>
      <c r="AI48" s="475">
        <v>52587</v>
      </c>
      <c r="AJ48" s="475">
        <v>439</v>
      </c>
      <c r="AK48" s="475">
        <v>2787</v>
      </c>
      <c r="AL48" s="475">
        <v>821</v>
      </c>
      <c r="AM48" s="475">
        <v>19842</v>
      </c>
      <c r="AN48" s="475">
        <v>1808</v>
      </c>
      <c r="AO48" s="475">
        <v>-61775</v>
      </c>
      <c r="AP48" s="475">
        <v>295480</v>
      </c>
      <c r="AQ48" s="475">
        <v>5165511</v>
      </c>
      <c r="AR48" s="475">
        <v>13600</v>
      </c>
      <c r="AS48" s="475">
        <v>326562</v>
      </c>
      <c r="AT48" s="475">
        <v>909604</v>
      </c>
      <c r="AU48" s="475">
        <v>62646702</v>
      </c>
      <c r="AV48" s="475">
        <v>25948</v>
      </c>
      <c r="AW48" s="475">
        <v>128735</v>
      </c>
      <c r="AX48" s="475">
        <v>108621</v>
      </c>
      <c r="AY48" s="475">
        <v>135043</v>
      </c>
      <c r="AZ48" s="475">
        <v>13009</v>
      </c>
      <c r="BA48" s="475">
        <v>22885</v>
      </c>
      <c r="BB48" s="475">
        <v>164</v>
      </c>
      <c r="BC48" s="475">
        <v>570</v>
      </c>
      <c r="BD48" s="475">
        <v>99286</v>
      </c>
      <c r="BE48" s="475">
        <v>173799</v>
      </c>
      <c r="BF48" s="475">
        <v>25135</v>
      </c>
      <c r="BG48" s="475">
        <v>169989</v>
      </c>
      <c r="BH48" s="475">
        <v>4377</v>
      </c>
      <c r="BI48" s="475">
        <v>46089</v>
      </c>
      <c r="BJ48" s="475">
        <v>2901</v>
      </c>
      <c r="BK48" s="475">
        <v>530</v>
      </c>
      <c r="BL48" s="475">
        <v>3393</v>
      </c>
      <c r="BM48" s="475">
        <v>41301</v>
      </c>
      <c r="BN48" s="475">
        <v>0</v>
      </c>
      <c r="BO48" s="475">
        <v>0</v>
      </c>
      <c r="BP48" s="475">
        <v>247875</v>
      </c>
      <c r="BQ48" s="475">
        <v>765371</v>
      </c>
      <c r="BR48" s="475">
        <v>265052</v>
      </c>
      <c r="BS48" s="475">
        <v>3409263</v>
      </c>
      <c r="BT48" s="475">
        <v>114495</v>
      </c>
      <c r="BU48" s="475">
        <v>552511</v>
      </c>
      <c r="BV48" s="475">
        <v>44840</v>
      </c>
      <c r="BW48" s="475">
        <v>631732</v>
      </c>
      <c r="BX48" s="475">
        <v>151658</v>
      </c>
      <c r="BY48" s="475">
        <v>494374</v>
      </c>
      <c r="BZ48" s="475">
        <v>135520</v>
      </c>
      <c r="CA48" s="475">
        <v>718807</v>
      </c>
      <c r="CB48" s="475">
        <v>105239</v>
      </c>
      <c r="CC48" s="475">
        <v>58397</v>
      </c>
      <c r="CD48" s="475">
        <v>18002</v>
      </c>
      <c r="CE48" s="475">
        <v>27259</v>
      </c>
      <c r="CF48" s="475">
        <v>152334</v>
      </c>
      <c r="CG48" s="475">
        <v>1298837</v>
      </c>
      <c r="CH48" s="475">
        <v>127293</v>
      </c>
      <c r="CI48" s="475">
        <v>1691677</v>
      </c>
      <c r="CJ48" s="475">
        <v>15931</v>
      </c>
      <c r="CK48" s="475">
        <v>28165</v>
      </c>
      <c r="CL48" s="475">
        <v>128390</v>
      </c>
      <c r="CM48" s="475">
        <v>1719842</v>
      </c>
      <c r="CN48" s="475">
        <v>106169</v>
      </c>
      <c r="CO48" s="475">
        <v>356988</v>
      </c>
      <c r="CP48" s="475">
        <v>84015</v>
      </c>
      <c r="CQ48" s="475">
        <v>114910</v>
      </c>
      <c r="CR48" s="475">
        <v>1915</v>
      </c>
      <c r="CS48" s="475">
        <v>16510</v>
      </c>
      <c r="CT48" s="475">
        <v>119785</v>
      </c>
      <c r="CU48" s="475">
        <v>488408</v>
      </c>
      <c r="CV48" s="475">
        <v>0</v>
      </c>
      <c r="CW48" s="475">
        <v>0</v>
      </c>
      <c r="CX48" s="475">
        <v>88371</v>
      </c>
      <c r="CY48" s="475">
        <v>639600</v>
      </c>
      <c r="CZ48" s="475">
        <v>152389</v>
      </c>
      <c r="DA48" s="475">
        <v>4132273</v>
      </c>
      <c r="DB48" s="475">
        <v>547</v>
      </c>
      <c r="DC48" s="475">
        <v>-543</v>
      </c>
      <c r="DD48" s="475">
        <v>311278</v>
      </c>
      <c r="DE48" s="475">
        <v>6198640</v>
      </c>
      <c r="DF48" s="475">
        <v>598489</v>
      </c>
      <c r="DG48" s="475">
        <v>4157894</v>
      </c>
      <c r="DH48" s="475">
        <v>1255206</v>
      </c>
      <c r="DI48" s="475">
        <v>153135</v>
      </c>
      <c r="DJ48" s="475">
        <v>639945</v>
      </c>
      <c r="DK48" s="475">
        <v>241899</v>
      </c>
      <c r="DL48" s="475">
        <v>203085</v>
      </c>
      <c r="DM48" s="475">
        <v>214</v>
      </c>
      <c r="DN48" s="475">
        <v>908717</v>
      </c>
      <c r="DO48" s="475">
        <v>419806</v>
      </c>
      <c r="DP48" s="475">
        <v>4322</v>
      </c>
      <c r="DQ48" s="475">
        <v>1973</v>
      </c>
      <c r="DR48" s="475">
        <v>161283</v>
      </c>
      <c r="DS48" s="475">
        <v>24288</v>
      </c>
      <c r="DT48" s="475">
        <v>140713</v>
      </c>
      <c r="DU48" s="475">
        <v>16285</v>
      </c>
      <c r="DV48" s="475">
        <v>0</v>
      </c>
      <c r="DW48" s="475">
        <v>0</v>
      </c>
      <c r="DX48" s="475">
        <v>165</v>
      </c>
      <c r="DY48" s="475">
        <v>399</v>
      </c>
      <c r="DZ48" s="475">
        <v>0</v>
      </c>
      <c r="EA48" s="475">
        <v>0</v>
      </c>
      <c r="EB48" s="475">
        <v>26241</v>
      </c>
      <c r="EC48" s="475">
        <v>5652</v>
      </c>
      <c r="ED48" s="475">
        <v>846766</v>
      </c>
      <c r="EE48" s="475">
        <v>1764352</v>
      </c>
      <c r="EF48" s="475">
        <v>42818</v>
      </c>
      <c r="EG48" s="475">
        <v>94586</v>
      </c>
      <c r="EH48" s="475">
        <v>165</v>
      </c>
      <c r="EI48" s="475">
        <v>24</v>
      </c>
      <c r="EJ48" s="475">
        <v>25528</v>
      </c>
      <c r="EK48" s="475">
        <v>5040</v>
      </c>
      <c r="EL48" s="475">
        <v>732587</v>
      </c>
      <c r="EM48" s="475">
        <v>813754</v>
      </c>
      <c r="EN48" s="475">
        <v>19422</v>
      </c>
      <c r="EO48" s="475">
        <v>21323</v>
      </c>
      <c r="EP48" s="476">
        <v>0</v>
      </c>
      <c r="EQ48" s="476">
        <v>0</v>
      </c>
      <c r="ER48" s="476">
        <v>0</v>
      </c>
      <c r="ES48" s="476">
        <v>0</v>
      </c>
      <c r="ET48" s="476">
        <v>0</v>
      </c>
      <c r="EU48" s="476">
        <v>0</v>
      </c>
    </row>
    <row r="49" spans="1:151" ht="15.5">
      <c r="A49" s="474" t="s">
        <v>759</v>
      </c>
      <c r="B49" s="475">
        <v>736969</v>
      </c>
      <c r="C49" s="475">
        <v>687987</v>
      </c>
      <c r="D49" s="475">
        <v>57720454</v>
      </c>
      <c r="E49" s="475">
        <v>-2575998</v>
      </c>
      <c r="F49" s="475">
        <v>55144456</v>
      </c>
      <c r="G49" s="475">
        <v>9699660</v>
      </c>
      <c r="H49" s="475">
        <v>46030399</v>
      </c>
      <c r="I49" s="475">
        <v>1304770</v>
      </c>
      <c r="J49" s="475">
        <v>639637</v>
      </c>
      <c r="K49" s="475">
        <v>44700759</v>
      </c>
      <c r="L49" s="475">
        <v>325583</v>
      </c>
      <c r="M49" s="475">
        <v>348352</v>
      </c>
      <c r="N49" s="475">
        <v>137893</v>
      </c>
      <c r="O49" s="475">
        <v>681817</v>
      </c>
      <c r="P49" s="475">
        <v>139601</v>
      </c>
      <c r="Q49" s="475">
        <v>4966819</v>
      </c>
      <c r="R49" s="475">
        <v>84651</v>
      </c>
      <c r="S49" s="475">
        <v>2120472</v>
      </c>
      <c r="T49" s="475">
        <v>35579</v>
      </c>
      <c r="U49" s="475">
        <v>-274437</v>
      </c>
      <c r="V49" s="475">
        <v>80455</v>
      </c>
      <c r="W49" s="475">
        <v>723857</v>
      </c>
      <c r="X49" s="475">
        <v>45743</v>
      </c>
      <c r="Y49" s="475">
        <v>-98599</v>
      </c>
      <c r="Z49" s="475">
        <v>35120</v>
      </c>
      <c r="AA49" s="475">
        <v>515504</v>
      </c>
      <c r="AB49" s="475">
        <v>28302</v>
      </c>
      <c r="AC49" s="475">
        <v>-378121</v>
      </c>
      <c r="AD49" s="475">
        <v>27984</v>
      </c>
      <c r="AE49" s="475">
        <v>850039</v>
      </c>
      <c r="AF49" s="475">
        <v>16523</v>
      </c>
      <c r="AG49" s="475">
        <v>317180</v>
      </c>
      <c r="AH49" s="475">
        <v>3025</v>
      </c>
      <c r="AI49" s="475">
        <v>45163</v>
      </c>
      <c r="AJ49" s="475">
        <v>175</v>
      </c>
      <c r="AK49" s="475">
        <v>794</v>
      </c>
      <c r="AL49" s="475">
        <v>658</v>
      </c>
      <c r="AM49" s="475">
        <v>28176</v>
      </c>
      <c r="AN49" s="475">
        <v>1545</v>
      </c>
      <c r="AO49" s="475">
        <v>-40648</v>
      </c>
      <c r="AP49" s="475">
        <v>260571</v>
      </c>
      <c r="AQ49" s="475">
        <v>4809832</v>
      </c>
      <c r="AR49" s="475">
        <v>12024</v>
      </c>
      <c r="AS49" s="475">
        <v>295844</v>
      </c>
      <c r="AT49" s="475">
        <v>736805</v>
      </c>
      <c r="AU49" s="475">
        <v>58390896</v>
      </c>
      <c r="AV49" s="475">
        <v>16850</v>
      </c>
      <c r="AW49" s="475">
        <v>100179</v>
      </c>
      <c r="AX49" s="475">
        <v>88637</v>
      </c>
      <c r="AY49" s="475">
        <v>82871</v>
      </c>
      <c r="AZ49" s="475">
        <v>11807</v>
      </c>
      <c r="BA49" s="475">
        <v>18251</v>
      </c>
      <c r="BB49" s="475">
        <v>164</v>
      </c>
      <c r="BC49" s="475">
        <v>205</v>
      </c>
      <c r="BD49" s="475">
        <v>85030</v>
      </c>
      <c r="BE49" s="475">
        <v>168074</v>
      </c>
      <c r="BF49" s="475">
        <v>23420</v>
      </c>
      <c r="BG49" s="475">
        <v>166079</v>
      </c>
      <c r="BH49" s="475">
        <v>4158</v>
      </c>
      <c r="BI49" s="475">
        <v>61746</v>
      </c>
      <c r="BJ49" s="475">
        <v>2299</v>
      </c>
      <c r="BK49" s="475">
        <v>301</v>
      </c>
      <c r="BL49" s="475">
        <v>2811</v>
      </c>
      <c r="BM49" s="475">
        <v>39216</v>
      </c>
      <c r="BN49" s="475">
        <v>0</v>
      </c>
      <c r="BO49" s="475">
        <v>0</v>
      </c>
      <c r="BP49" s="475">
        <v>208959</v>
      </c>
      <c r="BQ49" s="475">
        <v>688564</v>
      </c>
      <c r="BR49" s="475">
        <v>236126</v>
      </c>
      <c r="BS49" s="475">
        <v>3075515</v>
      </c>
      <c r="BT49" s="475">
        <v>108459</v>
      </c>
      <c r="BU49" s="475">
        <v>499516</v>
      </c>
      <c r="BV49" s="475">
        <v>41563</v>
      </c>
      <c r="BW49" s="475">
        <v>671412</v>
      </c>
      <c r="BX49" s="475">
        <v>154224</v>
      </c>
      <c r="BY49" s="475">
        <v>576959</v>
      </c>
      <c r="BZ49" s="475">
        <v>137379</v>
      </c>
      <c r="CA49" s="475">
        <v>747626</v>
      </c>
      <c r="CB49" s="475">
        <v>107750</v>
      </c>
      <c r="CC49" s="475">
        <v>60109</v>
      </c>
      <c r="CD49" s="475">
        <v>18525</v>
      </c>
      <c r="CE49" s="475">
        <v>29387</v>
      </c>
      <c r="CF49" s="475">
        <v>154732</v>
      </c>
      <c r="CG49" s="475">
        <v>1414081</v>
      </c>
      <c r="CH49" s="475">
        <v>130193</v>
      </c>
      <c r="CI49" s="475">
        <v>1707552</v>
      </c>
      <c r="CJ49" s="475">
        <v>16833</v>
      </c>
      <c r="CK49" s="475">
        <v>35337</v>
      </c>
      <c r="CL49" s="475">
        <v>131456</v>
      </c>
      <c r="CM49" s="475">
        <v>1742889</v>
      </c>
      <c r="CN49" s="475">
        <v>113609</v>
      </c>
      <c r="CO49" s="475">
        <v>395382</v>
      </c>
      <c r="CP49" s="475">
        <v>86218</v>
      </c>
      <c r="CQ49" s="475">
        <v>107390</v>
      </c>
      <c r="CR49" s="475">
        <v>876</v>
      </c>
      <c r="CS49" s="475">
        <v>5972</v>
      </c>
      <c r="CT49" s="475">
        <v>126739</v>
      </c>
      <c r="CU49" s="475">
        <v>508745</v>
      </c>
      <c r="CV49" s="475">
        <v>0</v>
      </c>
      <c r="CW49" s="475">
        <v>0</v>
      </c>
      <c r="CX49" s="475">
        <v>84345</v>
      </c>
      <c r="CY49" s="475">
        <v>555217</v>
      </c>
      <c r="CZ49" s="475">
        <v>154787</v>
      </c>
      <c r="DA49" s="475">
        <v>4303688</v>
      </c>
      <c r="DB49" s="475">
        <v>984</v>
      </c>
      <c r="DC49" s="475">
        <v>-825</v>
      </c>
      <c r="DD49" s="475">
        <v>293367</v>
      </c>
      <c r="DE49" s="475">
        <v>6569357</v>
      </c>
      <c r="DF49" s="475">
        <v>443384</v>
      </c>
      <c r="DG49" s="475">
        <v>3130303</v>
      </c>
      <c r="DH49" s="475">
        <v>1052245</v>
      </c>
      <c r="DI49" s="475">
        <v>128374</v>
      </c>
      <c r="DJ49" s="475">
        <v>529688</v>
      </c>
      <c r="DK49" s="475">
        <v>200222</v>
      </c>
      <c r="DL49" s="475">
        <v>176735</v>
      </c>
      <c r="DM49" s="475">
        <v>134</v>
      </c>
      <c r="DN49" s="475">
        <v>736069</v>
      </c>
      <c r="DO49" s="475">
        <v>350142</v>
      </c>
      <c r="DP49" s="475">
        <v>4880</v>
      </c>
      <c r="DQ49" s="475">
        <v>3020</v>
      </c>
      <c r="DR49" s="475">
        <v>147092</v>
      </c>
      <c r="DS49" s="475">
        <v>24114</v>
      </c>
      <c r="DT49" s="475">
        <v>125043</v>
      </c>
      <c r="DU49" s="475">
        <v>14726</v>
      </c>
      <c r="DV49" s="475">
        <v>0</v>
      </c>
      <c r="DW49" s="475">
        <v>0</v>
      </c>
      <c r="DX49" s="475">
        <v>222</v>
      </c>
      <c r="DY49" s="475">
        <v>382</v>
      </c>
      <c r="DZ49" s="475">
        <v>0</v>
      </c>
      <c r="EA49" s="475">
        <v>0</v>
      </c>
      <c r="EB49" s="475">
        <v>23294</v>
      </c>
      <c r="EC49" s="475">
        <v>5972</v>
      </c>
      <c r="ED49" s="475">
        <v>690062</v>
      </c>
      <c r="EE49" s="475">
        <v>1813800</v>
      </c>
      <c r="EF49" s="475">
        <v>42271</v>
      </c>
      <c r="EG49" s="475">
        <v>120485</v>
      </c>
      <c r="EH49" s="475">
        <v>319</v>
      </c>
      <c r="EI49" s="475">
        <v>39</v>
      </c>
      <c r="EJ49" s="475">
        <v>27885</v>
      </c>
      <c r="EK49" s="475">
        <v>5305</v>
      </c>
      <c r="EL49" s="475">
        <v>577110</v>
      </c>
      <c r="EM49" s="475">
        <v>767934</v>
      </c>
      <c r="EN49" s="475">
        <v>16675</v>
      </c>
      <c r="EO49" s="475">
        <v>37231</v>
      </c>
      <c r="EP49" s="476">
        <v>0</v>
      </c>
      <c r="EQ49" s="476">
        <v>0</v>
      </c>
      <c r="ER49" s="476">
        <v>0</v>
      </c>
      <c r="ES49" s="476">
        <v>0</v>
      </c>
      <c r="ET49" s="476">
        <v>0</v>
      </c>
      <c r="EU49" s="476">
        <v>0</v>
      </c>
    </row>
    <row r="50" spans="1:151" ht="15.5">
      <c r="A50" s="474" t="s">
        <v>760</v>
      </c>
      <c r="B50" s="475">
        <v>626288</v>
      </c>
      <c r="C50" s="475">
        <v>604579</v>
      </c>
      <c r="D50" s="475">
        <v>55230373</v>
      </c>
      <c r="E50" s="475">
        <v>-2076502</v>
      </c>
      <c r="F50" s="475">
        <v>53153871</v>
      </c>
      <c r="G50" s="475">
        <v>8561942</v>
      </c>
      <c r="H50" s="475">
        <v>44675963</v>
      </c>
      <c r="I50" s="475">
        <v>1468036</v>
      </c>
      <c r="J50" s="475">
        <v>546024</v>
      </c>
      <c r="K50" s="475">
        <v>42854640</v>
      </c>
      <c r="L50" s="475">
        <v>313259</v>
      </c>
      <c r="M50" s="475">
        <v>369510</v>
      </c>
      <c r="N50" s="475">
        <v>136216</v>
      </c>
      <c r="O50" s="475">
        <v>699242</v>
      </c>
      <c r="P50" s="475">
        <v>125148</v>
      </c>
      <c r="Q50" s="475">
        <v>4905775</v>
      </c>
      <c r="R50" s="475">
        <v>71636</v>
      </c>
      <c r="S50" s="475">
        <v>1792820</v>
      </c>
      <c r="T50" s="475">
        <v>33656</v>
      </c>
      <c r="U50" s="475">
        <v>-326224</v>
      </c>
      <c r="V50" s="475">
        <v>83489</v>
      </c>
      <c r="W50" s="475">
        <v>752383</v>
      </c>
      <c r="X50" s="475">
        <v>42737</v>
      </c>
      <c r="Y50" s="475">
        <v>-89582</v>
      </c>
      <c r="Z50" s="475">
        <v>34704</v>
      </c>
      <c r="AA50" s="475">
        <v>502784</v>
      </c>
      <c r="AB50" s="475">
        <v>27375</v>
      </c>
      <c r="AC50" s="475">
        <v>-349914</v>
      </c>
      <c r="AD50" s="475">
        <v>26797</v>
      </c>
      <c r="AE50" s="475">
        <v>899521</v>
      </c>
      <c r="AF50" s="475">
        <v>17330</v>
      </c>
      <c r="AG50" s="475">
        <v>307268</v>
      </c>
      <c r="AH50" s="475">
        <v>3017</v>
      </c>
      <c r="AI50" s="475">
        <v>54130</v>
      </c>
      <c r="AJ50" s="475">
        <v>276</v>
      </c>
      <c r="AK50" s="475">
        <v>2137</v>
      </c>
      <c r="AL50" s="475">
        <v>384</v>
      </c>
      <c r="AM50" s="475">
        <v>4599</v>
      </c>
      <c r="AN50" s="475">
        <v>1460</v>
      </c>
      <c r="AO50" s="475">
        <v>-29734</v>
      </c>
      <c r="AP50" s="475">
        <v>234842</v>
      </c>
      <c r="AQ50" s="475">
        <v>4363855</v>
      </c>
      <c r="AR50" s="475">
        <v>10001</v>
      </c>
      <c r="AS50" s="475">
        <v>299415</v>
      </c>
      <c r="AT50" s="475">
        <v>626179</v>
      </c>
      <c r="AU50" s="475">
        <v>55807422</v>
      </c>
      <c r="AV50" s="475">
        <v>14022</v>
      </c>
      <c r="AW50" s="475">
        <v>91527</v>
      </c>
      <c r="AX50" s="475">
        <v>56720</v>
      </c>
      <c r="AY50" s="475">
        <v>45823</v>
      </c>
      <c r="AZ50" s="475">
        <v>1755</v>
      </c>
      <c r="BA50" s="475">
        <v>3706</v>
      </c>
      <c r="BB50" s="475">
        <v>0</v>
      </c>
      <c r="BC50" s="475">
        <v>0</v>
      </c>
      <c r="BD50" s="475">
        <v>73456</v>
      </c>
      <c r="BE50" s="475">
        <v>141513</v>
      </c>
      <c r="BF50" s="475">
        <v>19983</v>
      </c>
      <c r="BG50" s="475">
        <v>147491</v>
      </c>
      <c r="BH50" s="475">
        <v>3874</v>
      </c>
      <c r="BI50" s="475">
        <v>53003</v>
      </c>
      <c r="BJ50" s="475">
        <v>2852</v>
      </c>
      <c r="BK50" s="475">
        <v>1277</v>
      </c>
      <c r="BL50" s="475">
        <v>3949</v>
      </c>
      <c r="BM50" s="475">
        <v>55345</v>
      </c>
      <c r="BN50" s="475">
        <v>0</v>
      </c>
      <c r="BO50" s="475">
        <v>0</v>
      </c>
      <c r="BP50" s="475">
        <v>166417</v>
      </c>
      <c r="BQ50" s="475">
        <v>590645</v>
      </c>
      <c r="BR50" s="475">
        <v>211745</v>
      </c>
      <c r="BS50" s="475">
        <v>2628425</v>
      </c>
      <c r="BT50" s="475">
        <v>99107</v>
      </c>
      <c r="BU50" s="475">
        <v>551923</v>
      </c>
      <c r="BV50" s="475">
        <v>36370</v>
      </c>
      <c r="BW50" s="475">
        <v>582117</v>
      </c>
      <c r="BX50" s="475">
        <v>153877</v>
      </c>
      <c r="BY50" s="475">
        <v>678324</v>
      </c>
      <c r="BZ50" s="475">
        <v>139711</v>
      </c>
      <c r="CA50" s="475">
        <v>787826</v>
      </c>
      <c r="CB50" s="475">
        <v>108922</v>
      </c>
      <c r="CC50" s="475">
        <v>55472</v>
      </c>
      <c r="CD50" s="475">
        <v>16788</v>
      </c>
      <c r="CE50" s="475">
        <v>26527</v>
      </c>
      <c r="CF50" s="475">
        <v>154066</v>
      </c>
      <c r="CG50" s="475">
        <v>1548149</v>
      </c>
      <c r="CH50" s="475">
        <v>133601</v>
      </c>
      <c r="CI50" s="475">
        <v>1778406</v>
      </c>
      <c r="CJ50" s="475">
        <v>18372</v>
      </c>
      <c r="CK50" s="475">
        <v>25677</v>
      </c>
      <c r="CL50" s="475">
        <v>134624</v>
      </c>
      <c r="CM50" s="475">
        <v>1804083</v>
      </c>
      <c r="CN50" s="475">
        <v>112312</v>
      </c>
      <c r="CO50" s="475">
        <v>399766</v>
      </c>
      <c r="CP50" s="475">
        <v>87511</v>
      </c>
      <c r="CQ50" s="475">
        <v>122874</v>
      </c>
      <c r="CR50" s="475">
        <v>1153</v>
      </c>
      <c r="CS50" s="475">
        <v>5647</v>
      </c>
      <c r="CT50" s="475">
        <v>127287</v>
      </c>
      <c r="CU50" s="475">
        <v>528287</v>
      </c>
      <c r="CV50" s="475">
        <v>55</v>
      </c>
      <c r="CW50" s="475">
        <v>1419</v>
      </c>
      <c r="CX50" s="475">
        <v>78447</v>
      </c>
      <c r="CY50" s="475">
        <v>591219</v>
      </c>
      <c r="CZ50" s="475">
        <v>154340</v>
      </c>
      <c r="DA50" s="475">
        <v>4409406</v>
      </c>
      <c r="DB50" s="475">
        <v>1043</v>
      </c>
      <c r="DC50" s="475">
        <v>-686</v>
      </c>
      <c r="DD50" s="475">
        <v>287782</v>
      </c>
      <c r="DE50" s="475">
        <v>6164478</v>
      </c>
      <c r="DF50" s="475">
        <v>338342</v>
      </c>
      <c r="DG50" s="475">
        <v>2397464</v>
      </c>
      <c r="DH50" s="475">
        <v>922691</v>
      </c>
      <c r="DI50" s="475">
        <v>112568</v>
      </c>
      <c r="DJ50" s="475">
        <v>452227</v>
      </c>
      <c r="DK50" s="475">
        <v>170942</v>
      </c>
      <c r="DL50" s="475">
        <v>154093</v>
      </c>
      <c r="DM50" s="475">
        <v>141</v>
      </c>
      <c r="DN50" s="475">
        <v>625721</v>
      </c>
      <c r="DO50" s="475">
        <v>302300</v>
      </c>
      <c r="DP50" s="475">
        <v>4775</v>
      </c>
      <c r="DQ50" s="475">
        <v>4440</v>
      </c>
      <c r="DR50" s="475">
        <v>88544</v>
      </c>
      <c r="DS50" s="475">
        <v>18592</v>
      </c>
      <c r="DT50" s="475">
        <v>61492</v>
      </c>
      <c r="DU50" s="475">
        <v>7310</v>
      </c>
      <c r="DV50" s="475">
        <v>55</v>
      </c>
      <c r="DW50" s="475">
        <v>17</v>
      </c>
      <c r="DX50" s="475" t="s">
        <v>714</v>
      </c>
      <c r="DY50" s="475">
        <v>184</v>
      </c>
      <c r="DZ50" s="475">
        <v>0</v>
      </c>
      <c r="EA50" s="475">
        <v>0</v>
      </c>
      <c r="EB50" s="475">
        <v>21722</v>
      </c>
      <c r="EC50" s="475">
        <v>6933</v>
      </c>
      <c r="ED50" s="475">
        <v>590540</v>
      </c>
      <c r="EE50" s="475">
        <v>1919263</v>
      </c>
      <c r="EF50" s="475">
        <v>37866</v>
      </c>
      <c r="EG50" s="475">
        <v>94171</v>
      </c>
      <c r="EH50" s="475">
        <v>605</v>
      </c>
      <c r="EI50" s="475">
        <v>91</v>
      </c>
      <c r="EJ50" s="475">
        <v>28579</v>
      </c>
      <c r="EK50" s="475">
        <v>6045</v>
      </c>
      <c r="EL50" s="475">
        <v>478440</v>
      </c>
      <c r="EM50" s="475">
        <v>692265</v>
      </c>
      <c r="EN50" s="475">
        <v>12717</v>
      </c>
      <c r="EO50" s="475">
        <v>19201</v>
      </c>
      <c r="EP50" s="476">
        <v>0</v>
      </c>
      <c r="EQ50" s="476">
        <v>0</v>
      </c>
      <c r="ER50" s="476">
        <v>0</v>
      </c>
      <c r="ES50" s="476">
        <v>0</v>
      </c>
      <c r="ET50" s="476">
        <v>0</v>
      </c>
      <c r="EU50" s="476">
        <v>0</v>
      </c>
    </row>
    <row r="51" spans="1:151" ht="15.5">
      <c r="A51" s="474" t="s">
        <v>761</v>
      </c>
      <c r="B51" s="475">
        <v>528447</v>
      </c>
      <c r="C51" s="475">
        <v>517176</v>
      </c>
      <c r="D51" s="475">
        <v>52042696</v>
      </c>
      <c r="E51" s="475">
        <v>-1911324</v>
      </c>
      <c r="F51" s="475">
        <v>50131373</v>
      </c>
      <c r="G51" s="475">
        <v>7871244</v>
      </c>
      <c r="H51" s="475">
        <v>42317979</v>
      </c>
      <c r="I51" s="475">
        <v>1538721</v>
      </c>
      <c r="J51" s="475">
        <v>460731</v>
      </c>
      <c r="K51" s="475">
        <v>40021503</v>
      </c>
      <c r="L51" s="475">
        <v>291101</v>
      </c>
      <c r="M51" s="475">
        <v>352340</v>
      </c>
      <c r="N51" s="475">
        <v>126817</v>
      </c>
      <c r="O51" s="475">
        <v>672851</v>
      </c>
      <c r="P51" s="475">
        <v>108635</v>
      </c>
      <c r="Q51" s="475">
        <v>4689773</v>
      </c>
      <c r="R51" s="475">
        <v>63319</v>
      </c>
      <c r="S51" s="475">
        <v>1732253</v>
      </c>
      <c r="T51" s="475">
        <v>27152</v>
      </c>
      <c r="U51" s="475">
        <v>-244443</v>
      </c>
      <c r="V51" s="475">
        <v>76046</v>
      </c>
      <c r="W51" s="475">
        <v>863259</v>
      </c>
      <c r="X51" s="475">
        <v>40894</v>
      </c>
      <c r="Y51" s="475">
        <v>-86152</v>
      </c>
      <c r="Z51" s="475">
        <v>32469</v>
      </c>
      <c r="AA51" s="475">
        <v>488203</v>
      </c>
      <c r="AB51" s="475">
        <v>26986</v>
      </c>
      <c r="AC51" s="475">
        <v>-274393</v>
      </c>
      <c r="AD51" s="475">
        <v>26018</v>
      </c>
      <c r="AE51" s="475">
        <v>900498</v>
      </c>
      <c r="AF51" s="475">
        <v>17047</v>
      </c>
      <c r="AG51" s="475">
        <v>304990</v>
      </c>
      <c r="AH51" s="475">
        <v>3085</v>
      </c>
      <c r="AI51" s="475">
        <v>79621</v>
      </c>
      <c r="AJ51" s="475">
        <v>550</v>
      </c>
      <c r="AK51" s="475">
        <v>11397</v>
      </c>
      <c r="AL51" s="475">
        <v>281</v>
      </c>
      <c r="AM51" s="475">
        <v>3465</v>
      </c>
      <c r="AN51" s="475">
        <v>1481</v>
      </c>
      <c r="AO51" s="475">
        <v>-26739</v>
      </c>
      <c r="AP51" s="475">
        <v>210285</v>
      </c>
      <c r="AQ51" s="475">
        <v>3899517</v>
      </c>
      <c r="AR51" s="475">
        <v>8880</v>
      </c>
      <c r="AS51" s="475">
        <v>206540</v>
      </c>
      <c r="AT51" s="475">
        <v>528118</v>
      </c>
      <c r="AU51" s="475">
        <v>52552259</v>
      </c>
      <c r="AV51" s="475">
        <v>14438</v>
      </c>
      <c r="AW51" s="475">
        <v>92801</v>
      </c>
      <c r="AX51" s="475">
        <v>36204</v>
      </c>
      <c r="AY51" s="475">
        <v>46803</v>
      </c>
      <c r="AZ51" s="475">
        <v>1591</v>
      </c>
      <c r="BA51" s="475">
        <v>2910</v>
      </c>
      <c r="BB51" s="475">
        <v>110</v>
      </c>
      <c r="BC51" s="475">
        <v>182</v>
      </c>
      <c r="BD51" s="475">
        <v>63768</v>
      </c>
      <c r="BE51" s="475">
        <v>133933</v>
      </c>
      <c r="BF51" s="475">
        <v>18185</v>
      </c>
      <c r="BG51" s="475">
        <v>136331</v>
      </c>
      <c r="BH51" s="475">
        <v>3730</v>
      </c>
      <c r="BI51" s="475">
        <v>48891</v>
      </c>
      <c r="BJ51" s="475">
        <v>2194</v>
      </c>
      <c r="BK51" s="475">
        <v>1468</v>
      </c>
      <c r="BL51" s="475">
        <v>3823</v>
      </c>
      <c r="BM51" s="475">
        <v>40573</v>
      </c>
      <c r="BN51" s="475">
        <v>0</v>
      </c>
      <c r="BO51" s="475">
        <v>0</v>
      </c>
      <c r="BP51" s="475">
        <v>132987</v>
      </c>
      <c r="BQ51" s="475">
        <v>538250</v>
      </c>
      <c r="BR51" s="475">
        <v>191959</v>
      </c>
      <c r="BS51" s="475">
        <v>2334277</v>
      </c>
      <c r="BT51" s="475">
        <v>90322</v>
      </c>
      <c r="BU51" s="475">
        <v>422954</v>
      </c>
      <c r="BV51" s="475">
        <v>33792</v>
      </c>
      <c r="BW51" s="475">
        <v>557313</v>
      </c>
      <c r="BX51" s="475">
        <v>155406</v>
      </c>
      <c r="BY51" s="475">
        <v>807154</v>
      </c>
      <c r="BZ51" s="475">
        <v>142247</v>
      </c>
      <c r="CA51" s="475">
        <v>812001</v>
      </c>
      <c r="CB51" s="475">
        <v>111576</v>
      </c>
      <c r="CC51" s="475">
        <v>63884</v>
      </c>
      <c r="CD51" s="475">
        <v>16347</v>
      </c>
      <c r="CE51" s="475">
        <v>19941</v>
      </c>
      <c r="CF51" s="475">
        <v>155856</v>
      </c>
      <c r="CG51" s="475">
        <v>1702981</v>
      </c>
      <c r="CH51" s="475">
        <v>136219</v>
      </c>
      <c r="CI51" s="475">
        <v>1843352</v>
      </c>
      <c r="CJ51" s="475">
        <v>18677</v>
      </c>
      <c r="CK51" s="475">
        <v>32924</v>
      </c>
      <c r="CL51" s="475">
        <v>137055</v>
      </c>
      <c r="CM51" s="475">
        <v>1876276</v>
      </c>
      <c r="CN51" s="475">
        <v>117442</v>
      </c>
      <c r="CO51" s="475">
        <v>451407</v>
      </c>
      <c r="CP51" s="475">
        <v>89009</v>
      </c>
      <c r="CQ51" s="475">
        <v>115673</v>
      </c>
      <c r="CR51" s="475">
        <v>1326</v>
      </c>
      <c r="CS51" s="475">
        <v>15096</v>
      </c>
      <c r="CT51" s="475">
        <v>129651</v>
      </c>
      <c r="CU51" s="475">
        <v>582175</v>
      </c>
      <c r="CV51" s="475">
        <v>0</v>
      </c>
      <c r="CW51" s="475">
        <v>0</v>
      </c>
      <c r="CX51" s="475">
        <v>77421</v>
      </c>
      <c r="CY51" s="475">
        <v>561072</v>
      </c>
      <c r="CZ51" s="475">
        <v>155912</v>
      </c>
      <c r="DA51" s="475">
        <v>4551191</v>
      </c>
      <c r="DB51" s="475">
        <v>713</v>
      </c>
      <c r="DC51" s="475">
        <v>-329</v>
      </c>
      <c r="DD51" s="475">
        <v>270660</v>
      </c>
      <c r="DE51" s="475">
        <v>6010191</v>
      </c>
      <c r="DF51" s="475">
        <v>257787</v>
      </c>
      <c r="DG51" s="475">
        <v>1861053</v>
      </c>
      <c r="DH51" s="475">
        <v>802338</v>
      </c>
      <c r="DI51" s="475">
        <v>97885</v>
      </c>
      <c r="DJ51" s="475">
        <v>391563</v>
      </c>
      <c r="DK51" s="475">
        <v>148011</v>
      </c>
      <c r="DL51" s="475">
        <v>135560</v>
      </c>
      <c r="DM51" s="475">
        <v>114</v>
      </c>
      <c r="DN51" s="475">
        <v>528214</v>
      </c>
      <c r="DO51" s="475">
        <v>262398</v>
      </c>
      <c r="DP51" s="475">
        <v>4511</v>
      </c>
      <c r="DQ51" s="475">
        <v>2985</v>
      </c>
      <c r="DR51" s="475">
        <v>28789</v>
      </c>
      <c r="DS51" s="475">
        <v>8969</v>
      </c>
      <c r="DT51" s="475">
        <v>0</v>
      </c>
      <c r="DU51" s="475">
        <v>0</v>
      </c>
      <c r="DV51" s="475">
        <v>0</v>
      </c>
      <c r="DW51" s="475">
        <v>0</v>
      </c>
      <c r="DX51" s="475">
        <v>335</v>
      </c>
      <c r="DY51" s="475">
        <v>259</v>
      </c>
      <c r="DZ51" s="475">
        <v>0</v>
      </c>
      <c r="EA51" s="475">
        <v>0</v>
      </c>
      <c r="EB51" s="475">
        <v>19094</v>
      </c>
      <c r="EC51" s="475">
        <v>5861</v>
      </c>
      <c r="ED51" s="475">
        <v>498488</v>
      </c>
      <c r="EE51" s="475">
        <v>1896240</v>
      </c>
      <c r="EF51" s="475">
        <v>38187</v>
      </c>
      <c r="EG51" s="475">
        <v>116066</v>
      </c>
      <c r="EH51" s="475">
        <v>719</v>
      </c>
      <c r="EI51" s="475">
        <v>57</v>
      </c>
      <c r="EJ51" s="475">
        <v>23313</v>
      </c>
      <c r="EK51" s="475">
        <v>4792</v>
      </c>
      <c r="EL51" s="475">
        <v>394955</v>
      </c>
      <c r="EM51" s="475">
        <v>629195</v>
      </c>
      <c r="EN51" s="475">
        <v>14600</v>
      </c>
      <c r="EO51" s="475">
        <v>27428</v>
      </c>
      <c r="EP51" s="476">
        <v>0</v>
      </c>
      <c r="EQ51" s="476">
        <v>0</v>
      </c>
      <c r="ER51" s="476">
        <v>0</v>
      </c>
      <c r="ES51" s="476">
        <v>0</v>
      </c>
      <c r="ET51" s="476">
        <v>0</v>
      </c>
      <c r="EU51" s="476">
        <v>0</v>
      </c>
    </row>
    <row r="52" spans="1:151" ht="15.5">
      <c r="A52" s="474" t="s">
        <v>762</v>
      </c>
      <c r="B52" s="475">
        <v>1668517</v>
      </c>
      <c r="C52" s="475">
        <v>1657697</v>
      </c>
      <c r="D52" s="475">
        <v>208732535</v>
      </c>
      <c r="E52" s="475">
        <v>-5432036</v>
      </c>
      <c r="F52" s="475">
        <v>203300499</v>
      </c>
      <c r="G52" s="475">
        <v>30339522</v>
      </c>
      <c r="H52" s="475">
        <v>174134153</v>
      </c>
      <c r="I52" s="475">
        <v>7743562</v>
      </c>
      <c r="J52" s="475">
        <v>1473437</v>
      </c>
      <c r="K52" s="475">
        <v>162264904</v>
      </c>
      <c r="L52" s="475">
        <v>1046041</v>
      </c>
      <c r="M52" s="475">
        <v>1342281</v>
      </c>
      <c r="N52" s="475">
        <v>491720</v>
      </c>
      <c r="O52" s="475">
        <v>2894014</v>
      </c>
      <c r="P52" s="475">
        <v>353088</v>
      </c>
      <c r="Q52" s="475">
        <v>17628022</v>
      </c>
      <c r="R52" s="475">
        <v>216594</v>
      </c>
      <c r="S52" s="475">
        <v>6984623</v>
      </c>
      <c r="T52" s="475">
        <v>103558</v>
      </c>
      <c r="U52" s="475">
        <v>-936254</v>
      </c>
      <c r="V52" s="475">
        <v>297188</v>
      </c>
      <c r="W52" s="475">
        <v>3638440</v>
      </c>
      <c r="X52" s="475">
        <v>160084</v>
      </c>
      <c r="Y52" s="475">
        <v>-341596</v>
      </c>
      <c r="Z52" s="475">
        <v>115908</v>
      </c>
      <c r="AA52" s="475">
        <v>2040772</v>
      </c>
      <c r="AB52" s="475">
        <v>95593</v>
      </c>
      <c r="AC52" s="475">
        <v>-850525</v>
      </c>
      <c r="AD52" s="475">
        <v>111827</v>
      </c>
      <c r="AE52" s="475">
        <v>5052955</v>
      </c>
      <c r="AF52" s="475">
        <v>73796</v>
      </c>
      <c r="AG52" s="475">
        <v>1457493</v>
      </c>
      <c r="AH52" s="475">
        <v>11724</v>
      </c>
      <c r="AI52" s="475">
        <v>354149</v>
      </c>
      <c r="AJ52" s="475">
        <v>988</v>
      </c>
      <c r="AK52" s="475">
        <v>10381</v>
      </c>
      <c r="AL52" s="475">
        <v>2242</v>
      </c>
      <c r="AM52" s="475">
        <v>55497</v>
      </c>
      <c r="AN52" s="475">
        <v>4559</v>
      </c>
      <c r="AO52" s="475">
        <v>-127991</v>
      </c>
      <c r="AP52" s="475">
        <v>660726</v>
      </c>
      <c r="AQ52" s="475">
        <v>13454782</v>
      </c>
      <c r="AR52" s="475">
        <v>30465</v>
      </c>
      <c r="AS52" s="475">
        <v>809592</v>
      </c>
      <c r="AT52" s="475">
        <v>1668079</v>
      </c>
      <c r="AU52" s="475">
        <v>211137073</v>
      </c>
      <c r="AV52" s="475">
        <v>58523</v>
      </c>
      <c r="AW52" s="475">
        <v>352056</v>
      </c>
      <c r="AX52" s="475">
        <v>157882</v>
      </c>
      <c r="AY52" s="475">
        <v>203005</v>
      </c>
      <c r="AZ52" s="475">
        <v>30401</v>
      </c>
      <c r="BA52" s="475">
        <v>49187</v>
      </c>
      <c r="BB52" s="475">
        <v>329</v>
      </c>
      <c r="BC52" s="475">
        <v>778</v>
      </c>
      <c r="BD52" s="475">
        <v>224496</v>
      </c>
      <c r="BE52" s="475">
        <v>536506</v>
      </c>
      <c r="BF52" s="475">
        <v>66218</v>
      </c>
      <c r="BG52" s="475">
        <v>579173</v>
      </c>
      <c r="BH52" s="475">
        <v>18787</v>
      </c>
      <c r="BI52" s="475">
        <v>305345</v>
      </c>
      <c r="BJ52" s="475">
        <v>7098</v>
      </c>
      <c r="BK52" s="475">
        <v>2948</v>
      </c>
      <c r="BL52" s="475">
        <v>14304</v>
      </c>
      <c r="BM52" s="475">
        <v>266713</v>
      </c>
      <c r="BN52" s="475">
        <v>0</v>
      </c>
      <c r="BO52" s="475">
        <v>0</v>
      </c>
      <c r="BP52" s="475">
        <v>498071</v>
      </c>
      <c r="BQ52" s="475">
        <v>2461497</v>
      </c>
      <c r="BR52" s="475">
        <v>598865</v>
      </c>
      <c r="BS52" s="475">
        <v>7431029</v>
      </c>
      <c r="BT52" s="475">
        <v>367009</v>
      </c>
      <c r="BU52" s="475">
        <v>1998993</v>
      </c>
      <c r="BV52" s="475">
        <v>97730</v>
      </c>
      <c r="BW52" s="475">
        <v>1564219</v>
      </c>
      <c r="BX52" s="475">
        <v>606924</v>
      </c>
      <c r="BY52" s="475">
        <v>4278131</v>
      </c>
      <c r="BZ52" s="475">
        <v>557896</v>
      </c>
      <c r="CA52" s="475">
        <v>4080936</v>
      </c>
      <c r="CB52" s="475">
        <v>437861</v>
      </c>
      <c r="CC52" s="475">
        <v>307406</v>
      </c>
      <c r="CD52" s="475">
        <v>56956</v>
      </c>
      <c r="CE52" s="475">
        <v>69690</v>
      </c>
      <c r="CF52" s="475">
        <v>607489</v>
      </c>
      <c r="CG52" s="475">
        <v>8736164</v>
      </c>
      <c r="CH52" s="475">
        <v>541683</v>
      </c>
      <c r="CI52" s="475">
        <v>8307314</v>
      </c>
      <c r="CJ52" s="475">
        <v>80637</v>
      </c>
      <c r="CK52" s="475">
        <v>140434</v>
      </c>
      <c r="CL52" s="475">
        <v>544851</v>
      </c>
      <c r="CM52" s="475">
        <v>8447748</v>
      </c>
      <c r="CN52" s="475">
        <v>467580</v>
      </c>
      <c r="CO52" s="475">
        <v>2010908</v>
      </c>
      <c r="CP52" s="475">
        <v>370433</v>
      </c>
      <c r="CQ52" s="475">
        <v>532154</v>
      </c>
      <c r="CR52" s="475">
        <v>4042</v>
      </c>
      <c r="CS52" s="475">
        <v>36991</v>
      </c>
      <c r="CT52" s="475">
        <v>521535</v>
      </c>
      <c r="CU52" s="475">
        <v>2580095</v>
      </c>
      <c r="CV52" s="475">
        <v>55</v>
      </c>
      <c r="CW52" s="475">
        <v>192</v>
      </c>
      <c r="CX52" s="475">
        <v>274768</v>
      </c>
      <c r="CY52" s="475">
        <v>2178721</v>
      </c>
      <c r="CZ52" s="475">
        <v>607381</v>
      </c>
      <c r="DA52" s="475">
        <v>18761474</v>
      </c>
      <c r="DB52" s="475">
        <v>1678</v>
      </c>
      <c r="DC52" s="475">
        <v>2606</v>
      </c>
      <c r="DD52" s="475">
        <v>1003581</v>
      </c>
      <c r="DE52" s="475">
        <v>25440415</v>
      </c>
      <c r="DF52" s="475">
        <v>664772</v>
      </c>
      <c r="DG52" s="475">
        <v>4899107</v>
      </c>
      <c r="DH52" s="475">
        <v>2705025</v>
      </c>
      <c r="DI52" s="475">
        <v>330013</v>
      </c>
      <c r="DJ52" s="475">
        <v>1308236</v>
      </c>
      <c r="DK52" s="475">
        <v>494513</v>
      </c>
      <c r="DL52" s="475">
        <v>425623</v>
      </c>
      <c r="DM52" s="475">
        <v>271</v>
      </c>
      <c r="DN52" s="475">
        <v>1667316</v>
      </c>
      <c r="DO52" s="475">
        <v>876385</v>
      </c>
      <c r="DP52" s="475">
        <v>19528</v>
      </c>
      <c r="DQ52" s="475">
        <v>17605</v>
      </c>
      <c r="DR52" s="475">
        <v>24843</v>
      </c>
      <c r="DS52" s="475">
        <v>22782</v>
      </c>
      <c r="DT52" s="475">
        <v>0</v>
      </c>
      <c r="DU52" s="475">
        <v>0</v>
      </c>
      <c r="DV52" s="475">
        <v>0</v>
      </c>
      <c r="DW52" s="475">
        <v>0</v>
      </c>
      <c r="DX52" s="475">
        <v>2152</v>
      </c>
      <c r="DY52" s="475">
        <v>6424</v>
      </c>
      <c r="DZ52" s="475">
        <v>55</v>
      </c>
      <c r="EA52" s="475">
        <v>66</v>
      </c>
      <c r="EB52" s="475">
        <v>61595</v>
      </c>
      <c r="EC52" s="475">
        <v>24818</v>
      </c>
      <c r="ED52" s="475">
        <v>1583998</v>
      </c>
      <c r="EE52" s="475">
        <v>8648703</v>
      </c>
      <c r="EF52" s="475">
        <v>159697</v>
      </c>
      <c r="EG52" s="475">
        <v>648265</v>
      </c>
      <c r="EH52" s="475">
        <v>51197</v>
      </c>
      <c r="EI52" s="475">
        <v>6819</v>
      </c>
      <c r="EJ52" s="475">
        <v>1316</v>
      </c>
      <c r="EK52" s="475">
        <v>255</v>
      </c>
      <c r="EL52" s="475">
        <v>1188231</v>
      </c>
      <c r="EM52" s="475">
        <v>2367903</v>
      </c>
      <c r="EN52" s="475">
        <v>59627</v>
      </c>
      <c r="EO52" s="475">
        <v>132997</v>
      </c>
      <c r="EP52" s="476">
        <v>0</v>
      </c>
      <c r="EQ52" s="476">
        <v>0</v>
      </c>
      <c r="ER52" s="476">
        <v>0</v>
      </c>
      <c r="ES52" s="476">
        <v>0</v>
      </c>
      <c r="ET52" s="476">
        <v>0</v>
      </c>
      <c r="EU52" s="476">
        <v>0</v>
      </c>
    </row>
    <row r="53" spans="1:151" ht="15.5">
      <c r="A53" s="474" t="s">
        <v>763</v>
      </c>
      <c r="B53" s="475">
        <v>829406</v>
      </c>
      <c r="C53" s="475">
        <v>827181</v>
      </c>
      <c r="D53" s="475">
        <v>145026184</v>
      </c>
      <c r="E53" s="475">
        <v>-2126144</v>
      </c>
      <c r="F53" s="475">
        <v>142900040</v>
      </c>
      <c r="G53" s="475">
        <v>18804320</v>
      </c>
      <c r="H53" s="475">
        <v>124227433</v>
      </c>
      <c r="I53" s="475">
        <v>6970085</v>
      </c>
      <c r="J53" s="475">
        <v>740632</v>
      </c>
      <c r="K53" s="475">
        <v>112376652</v>
      </c>
      <c r="L53" s="475">
        <v>612349</v>
      </c>
      <c r="M53" s="475">
        <v>1072829</v>
      </c>
      <c r="N53" s="475">
        <v>333512</v>
      </c>
      <c r="O53" s="475">
        <v>2581023</v>
      </c>
      <c r="P53" s="475">
        <v>173310</v>
      </c>
      <c r="Q53" s="475">
        <v>10546576</v>
      </c>
      <c r="R53" s="475">
        <v>115630</v>
      </c>
      <c r="S53" s="475">
        <v>4722189</v>
      </c>
      <c r="T53" s="475">
        <v>55129</v>
      </c>
      <c r="U53" s="475">
        <v>-476443</v>
      </c>
      <c r="V53" s="475">
        <v>213354</v>
      </c>
      <c r="W53" s="475">
        <v>3994061</v>
      </c>
      <c r="X53" s="475">
        <v>103165</v>
      </c>
      <c r="Y53" s="475">
        <v>-221900</v>
      </c>
      <c r="Z53" s="475">
        <v>76111</v>
      </c>
      <c r="AA53" s="475">
        <v>1756004</v>
      </c>
      <c r="AB53" s="475">
        <v>19035</v>
      </c>
      <c r="AC53" s="475">
        <v>-449449</v>
      </c>
      <c r="AD53" s="475">
        <v>87574</v>
      </c>
      <c r="AE53" s="475">
        <v>5247989</v>
      </c>
      <c r="AF53" s="475">
        <v>58853</v>
      </c>
      <c r="AG53" s="475">
        <v>1545136</v>
      </c>
      <c r="AH53" s="475">
        <v>8834</v>
      </c>
      <c r="AI53" s="475">
        <v>276641</v>
      </c>
      <c r="AJ53" s="475">
        <v>1115</v>
      </c>
      <c r="AK53" s="475">
        <v>8638</v>
      </c>
      <c r="AL53" s="475">
        <v>1112</v>
      </c>
      <c r="AM53" s="475">
        <v>40353</v>
      </c>
      <c r="AN53" s="475">
        <v>3611</v>
      </c>
      <c r="AO53" s="475">
        <v>-96191</v>
      </c>
      <c r="AP53" s="475">
        <v>305771</v>
      </c>
      <c r="AQ53" s="475">
        <v>7990789</v>
      </c>
      <c r="AR53" s="475">
        <v>18715</v>
      </c>
      <c r="AS53" s="475">
        <v>560061</v>
      </c>
      <c r="AT53" s="475">
        <v>829341</v>
      </c>
      <c r="AU53" s="475">
        <v>146738339</v>
      </c>
      <c r="AV53" s="475">
        <v>34466</v>
      </c>
      <c r="AW53" s="475">
        <v>242550</v>
      </c>
      <c r="AX53" s="475">
        <v>42921</v>
      </c>
      <c r="AY53" s="475">
        <v>21205</v>
      </c>
      <c r="AZ53" s="475">
        <v>6904</v>
      </c>
      <c r="BA53" s="475">
        <v>10729</v>
      </c>
      <c r="BB53" s="475">
        <v>0</v>
      </c>
      <c r="BC53" s="475">
        <v>0</v>
      </c>
      <c r="BD53" s="475">
        <v>123625</v>
      </c>
      <c r="BE53" s="475">
        <v>333704</v>
      </c>
      <c r="BF53" s="475">
        <v>42263</v>
      </c>
      <c r="BG53" s="475">
        <v>437448</v>
      </c>
      <c r="BH53" s="475">
        <v>16800</v>
      </c>
      <c r="BI53" s="475">
        <v>386688</v>
      </c>
      <c r="BJ53" s="475">
        <v>3383</v>
      </c>
      <c r="BK53" s="475">
        <v>1410</v>
      </c>
      <c r="BL53" s="475">
        <v>9311</v>
      </c>
      <c r="BM53" s="475">
        <v>224060</v>
      </c>
      <c r="BN53" s="475">
        <v>0</v>
      </c>
      <c r="BO53" s="475">
        <v>0</v>
      </c>
      <c r="BP53" s="475">
        <v>254611</v>
      </c>
      <c r="BQ53" s="475">
        <v>1755442</v>
      </c>
      <c r="BR53" s="475">
        <v>273767</v>
      </c>
      <c r="BS53" s="475">
        <v>3815016</v>
      </c>
      <c r="BT53" s="475">
        <v>249048</v>
      </c>
      <c r="BU53" s="475">
        <v>1688872</v>
      </c>
      <c r="BV53" s="475">
        <v>41488</v>
      </c>
      <c r="BW53" s="475">
        <v>791718</v>
      </c>
      <c r="BX53" s="475">
        <v>406865</v>
      </c>
      <c r="BY53" s="475">
        <v>4329513</v>
      </c>
      <c r="BZ53" s="475">
        <v>379083</v>
      </c>
      <c r="CA53" s="475">
        <v>2885701</v>
      </c>
      <c r="CB53" s="475">
        <v>295652</v>
      </c>
      <c r="CC53" s="475">
        <v>180743</v>
      </c>
      <c r="CD53" s="475">
        <v>30916</v>
      </c>
      <c r="CE53" s="475">
        <v>38518</v>
      </c>
      <c r="CF53" s="475">
        <v>407434</v>
      </c>
      <c r="CG53" s="475">
        <v>7434475</v>
      </c>
      <c r="CH53" s="475">
        <v>370816</v>
      </c>
      <c r="CI53" s="475">
        <v>6530389</v>
      </c>
      <c r="CJ53" s="475">
        <v>60116</v>
      </c>
      <c r="CK53" s="475">
        <v>146113</v>
      </c>
      <c r="CL53" s="475">
        <v>373877</v>
      </c>
      <c r="CM53" s="475">
        <v>6676502</v>
      </c>
      <c r="CN53" s="475">
        <v>322688</v>
      </c>
      <c r="CO53" s="475">
        <v>1640351</v>
      </c>
      <c r="CP53" s="475">
        <v>263631</v>
      </c>
      <c r="CQ53" s="475">
        <v>431435</v>
      </c>
      <c r="CR53" s="475">
        <v>1677</v>
      </c>
      <c r="CS53" s="475">
        <v>32278</v>
      </c>
      <c r="CT53" s="475">
        <v>360256</v>
      </c>
      <c r="CU53" s="475">
        <v>2104064</v>
      </c>
      <c r="CV53" s="475">
        <v>65</v>
      </c>
      <c r="CW53" s="475">
        <v>3846</v>
      </c>
      <c r="CX53" s="475">
        <v>157817</v>
      </c>
      <c r="CY53" s="475">
        <v>1464949</v>
      </c>
      <c r="CZ53" s="475">
        <v>407598</v>
      </c>
      <c r="DA53" s="475">
        <v>13911216</v>
      </c>
      <c r="DB53" s="475">
        <v>786</v>
      </c>
      <c r="DC53" s="475">
        <v>2696</v>
      </c>
      <c r="DD53" s="475">
        <v>597556</v>
      </c>
      <c r="DE53" s="475">
        <v>17065253</v>
      </c>
      <c r="DF53" s="475">
        <v>231845</v>
      </c>
      <c r="DG53" s="475">
        <v>1739067</v>
      </c>
      <c r="DH53" s="475">
        <v>1436336</v>
      </c>
      <c r="DI53" s="475">
        <v>175233</v>
      </c>
      <c r="DJ53" s="475">
        <v>708554</v>
      </c>
      <c r="DK53" s="475">
        <v>267833</v>
      </c>
      <c r="DL53" s="475">
        <v>208697</v>
      </c>
      <c r="DM53" s="475">
        <v>118</v>
      </c>
      <c r="DN53" s="475">
        <v>828759</v>
      </c>
      <c r="DO53" s="475">
        <v>467863</v>
      </c>
      <c r="DP53" s="475">
        <v>14926</v>
      </c>
      <c r="DQ53" s="475">
        <v>21301</v>
      </c>
      <c r="DR53" s="475">
        <v>17239</v>
      </c>
      <c r="DS53" s="475">
        <v>27328</v>
      </c>
      <c r="DT53" s="475">
        <v>0</v>
      </c>
      <c r="DU53" s="475">
        <v>0</v>
      </c>
      <c r="DV53" s="475">
        <v>0</v>
      </c>
      <c r="DW53" s="475">
        <v>0</v>
      </c>
      <c r="DX53" s="475">
        <v>2039</v>
      </c>
      <c r="DY53" s="475">
        <v>5867</v>
      </c>
      <c r="DZ53" s="475" t="s">
        <v>714</v>
      </c>
      <c r="EA53" s="475">
        <v>256</v>
      </c>
      <c r="EB53" s="475">
        <v>30715</v>
      </c>
      <c r="EC53" s="475">
        <v>18290</v>
      </c>
      <c r="ED53" s="475">
        <v>788233</v>
      </c>
      <c r="EE53" s="475">
        <v>6941174</v>
      </c>
      <c r="EF53" s="475">
        <v>115460</v>
      </c>
      <c r="EG53" s="475">
        <v>740319</v>
      </c>
      <c r="EH53" s="475">
        <v>53714</v>
      </c>
      <c r="EI53" s="475">
        <v>15446</v>
      </c>
      <c r="EJ53" s="475">
        <v>32</v>
      </c>
      <c r="EK53" s="475">
        <v>7</v>
      </c>
      <c r="EL53" s="475">
        <v>552787</v>
      </c>
      <c r="EM53" s="475">
        <v>1468962</v>
      </c>
      <c r="EN53" s="475">
        <v>44251</v>
      </c>
      <c r="EO53" s="475">
        <v>151042</v>
      </c>
      <c r="EP53" s="476">
        <v>0</v>
      </c>
      <c r="EQ53" s="476">
        <v>0</v>
      </c>
      <c r="ER53" s="476">
        <v>0</v>
      </c>
      <c r="ES53" s="476">
        <v>0</v>
      </c>
      <c r="ET53" s="476">
        <v>0</v>
      </c>
      <c r="EU53" s="476">
        <v>0</v>
      </c>
    </row>
    <row r="54" spans="1:151" ht="15.5">
      <c r="A54" s="474" t="s">
        <v>764</v>
      </c>
      <c r="B54" s="475">
        <v>697329</v>
      </c>
      <c r="C54" s="475">
        <v>695865</v>
      </c>
      <c r="D54" s="475">
        <v>169409647</v>
      </c>
      <c r="E54" s="475">
        <v>-1181148</v>
      </c>
      <c r="F54" s="475">
        <v>168228499</v>
      </c>
      <c r="G54" s="475">
        <v>22148655</v>
      </c>
      <c r="H54" s="475">
        <v>148964150</v>
      </c>
      <c r="I54" s="475">
        <v>9858663</v>
      </c>
      <c r="J54" s="475">
        <v>627075</v>
      </c>
      <c r="K54" s="475">
        <v>126805016</v>
      </c>
      <c r="L54" s="475">
        <v>558856</v>
      </c>
      <c r="M54" s="475">
        <v>1489712</v>
      </c>
      <c r="N54" s="475">
        <v>368592</v>
      </c>
      <c r="O54" s="475">
        <v>3632597</v>
      </c>
      <c r="P54" s="475">
        <v>139242</v>
      </c>
      <c r="Q54" s="475">
        <v>9516462</v>
      </c>
      <c r="R54" s="475">
        <v>104157</v>
      </c>
      <c r="S54" s="475">
        <v>6163897</v>
      </c>
      <c r="T54" s="475">
        <v>46299</v>
      </c>
      <c r="U54" s="475">
        <v>-471375</v>
      </c>
      <c r="V54" s="475">
        <v>246803</v>
      </c>
      <c r="W54" s="475">
        <v>6773008</v>
      </c>
      <c r="X54" s="475">
        <v>111216</v>
      </c>
      <c r="Y54" s="475">
        <v>-237858</v>
      </c>
      <c r="Z54" s="475">
        <v>78465</v>
      </c>
      <c r="AA54" s="475">
        <v>2398745</v>
      </c>
      <c r="AB54" s="475">
        <v>22662</v>
      </c>
      <c r="AC54" s="475">
        <v>-630424</v>
      </c>
      <c r="AD54" s="475">
        <v>109647</v>
      </c>
      <c r="AE54" s="475">
        <v>9868018</v>
      </c>
      <c r="AF54" s="475">
        <v>71801</v>
      </c>
      <c r="AG54" s="475">
        <v>2028954</v>
      </c>
      <c r="AH54" s="475">
        <v>10140</v>
      </c>
      <c r="AI54" s="475">
        <v>458833</v>
      </c>
      <c r="AJ54" s="475">
        <v>1249</v>
      </c>
      <c r="AK54" s="475">
        <v>11570</v>
      </c>
      <c r="AL54" s="475">
        <v>1147</v>
      </c>
      <c r="AM54" s="475">
        <v>61916</v>
      </c>
      <c r="AN54" s="475">
        <v>3942</v>
      </c>
      <c r="AO54" s="475">
        <v>-122118</v>
      </c>
      <c r="AP54" s="475">
        <v>255722</v>
      </c>
      <c r="AQ54" s="475">
        <v>8556327</v>
      </c>
      <c r="AR54" s="475">
        <v>20098</v>
      </c>
      <c r="AS54" s="475">
        <v>674900</v>
      </c>
      <c r="AT54" s="475">
        <v>697264</v>
      </c>
      <c r="AU54" s="475">
        <v>171573071</v>
      </c>
      <c r="AV54" s="475">
        <v>14323</v>
      </c>
      <c r="AW54" s="475">
        <v>137731</v>
      </c>
      <c r="AX54" s="475">
        <v>272</v>
      </c>
      <c r="AY54" s="475">
        <v>369</v>
      </c>
      <c r="AZ54" s="475" t="s">
        <v>714</v>
      </c>
      <c r="BA54" s="475">
        <v>4</v>
      </c>
      <c r="BB54" s="475">
        <v>0</v>
      </c>
      <c r="BC54" s="475">
        <v>0</v>
      </c>
      <c r="BD54" s="475">
        <v>118313</v>
      </c>
      <c r="BE54" s="475">
        <v>419691</v>
      </c>
      <c r="BF54" s="475">
        <v>48591</v>
      </c>
      <c r="BG54" s="475">
        <v>566992</v>
      </c>
      <c r="BH54" s="475">
        <v>27389</v>
      </c>
      <c r="BI54" s="475">
        <v>705472</v>
      </c>
      <c r="BJ54" s="475">
        <v>3535</v>
      </c>
      <c r="BK54" s="475">
        <v>1615</v>
      </c>
      <c r="BL54" s="475">
        <v>7913</v>
      </c>
      <c r="BM54" s="475">
        <v>265521</v>
      </c>
      <c r="BN54" s="475">
        <v>0</v>
      </c>
      <c r="BO54" s="475">
        <v>0</v>
      </c>
      <c r="BP54" s="475">
        <v>191376</v>
      </c>
      <c r="BQ54" s="475">
        <v>2203461</v>
      </c>
      <c r="BR54" s="475">
        <v>236740</v>
      </c>
      <c r="BS54" s="475">
        <v>3735177</v>
      </c>
      <c r="BT54" s="475">
        <v>260829</v>
      </c>
      <c r="BU54" s="475">
        <v>2554030</v>
      </c>
      <c r="BV54" s="475">
        <v>26322</v>
      </c>
      <c r="BW54" s="475">
        <v>712625</v>
      </c>
      <c r="BX54" s="475">
        <v>390191</v>
      </c>
      <c r="BY54" s="475">
        <v>6585288</v>
      </c>
      <c r="BZ54" s="475">
        <v>366486</v>
      </c>
      <c r="CA54" s="475">
        <v>3490035</v>
      </c>
      <c r="CB54" s="475">
        <v>281743</v>
      </c>
      <c r="CC54" s="475">
        <v>184710</v>
      </c>
      <c r="CD54" s="475">
        <v>22974</v>
      </c>
      <c r="CE54" s="475">
        <v>36850</v>
      </c>
      <c r="CF54" s="475">
        <v>390304</v>
      </c>
      <c r="CG54" s="475">
        <v>10296883</v>
      </c>
      <c r="CH54" s="475">
        <v>357397</v>
      </c>
      <c r="CI54" s="475">
        <v>7220608</v>
      </c>
      <c r="CJ54" s="475">
        <v>64960</v>
      </c>
      <c r="CK54" s="475">
        <v>181990</v>
      </c>
      <c r="CL54" s="475">
        <v>361699</v>
      </c>
      <c r="CM54" s="475">
        <v>7402598</v>
      </c>
      <c r="CN54" s="475">
        <v>316449</v>
      </c>
      <c r="CO54" s="475">
        <v>1933785</v>
      </c>
      <c r="CP54" s="475">
        <v>248345</v>
      </c>
      <c r="CQ54" s="475">
        <v>503220</v>
      </c>
      <c r="CR54" s="475">
        <v>1761</v>
      </c>
      <c r="CS54" s="475">
        <v>49401</v>
      </c>
      <c r="CT54" s="475">
        <v>347548</v>
      </c>
      <c r="CU54" s="475">
        <v>2486461</v>
      </c>
      <c r="CV54" s="475">
        <v>32</v>
      </c>
      <c r="CW54" s="475">
        <v>4091</v>
      </c>
      <c r="CX54" s="475">
        <v>118298</v>
      </c>
      <c r="CY54" s="475">
        <v>1509142</v>
      </c>
      <c r="CZ54" s="475">
        <v>390371</v>
      </c>
      <c r="DA54" s="475">
        <v>14935093</v>
      </c>
      <c r="DB54" s="475">
        <v>389</v>
      </c>
      <c r="DC54" s="475">
        <v>1984</v>
      </c>
      <c r="DD54" s="475">
        <v>531572</v>
      </c>
      <c r="DE54" s="475">
        <v>20880742</v>
      </c>
      <c r="DF54" s="475">
        <v>165725</v>
      </c>
      <c r="DG54" s="475">
        <v>1267913</v>
      </c>
      <c r="DH54" s="475">
        <v>1250773</v>
      </c>
      <c r="DI54" s="475">
        <v>152594</v>
      </c>
      <c r="DJ54" s="475">
        <v>631940</v>
      </c>
      <c r="DK54" s="475">
        <v>238873</v>
      </c>
      <c r="DL54" s="475">
        <v>177861</v>
      </c>
      <c r="DM54" s="475">
        <v>103</v>
      </c>
      <c r="DN54" s="475">
        <v>651937</v>
      </c>
      <c r="DO54" s="475">
        <v>400395</v>
      </c>
      <c r="DP54" s="475">
        <v>18716</v>
      </c>
      <c r="DQ54" s="475">
        <v>40719</v>
      </c>
      <c r="DR54" s="475">
        <v>21591</v>
      </c>
      <c r="DS54" s="475">
        <v>54202</v>
      </c>
      <c r="DT54" s="475">
        <v>0</v>
      </c>
      <c r="DU54" s="475">
        <v>0</v>
      </c>
      <c r="DV54" s="475">
        <v>0</v>
      </c>
      <c r="DW54" s="475">
        <v>0</v>
      </c>
      <c r="DX54" s="475">
        <v>2651</v>
      </c>
      <c r="DY54" s="475">
        <v>12807</v>
      </c>
      <c r="DZ54" s="475">
        <v>0</v>
      </c>
      <c r="EA54" s="475">
        <v>0</v>
      </c>
      <c r="EB54" s="475">
        <v>26124</v>
      </c>
      <c r="EC54" s="475">
        <v>19921</v>
      </c>
      <c r="ED54" s="475">
        <v>655024</v>
      </c>
      <c r="EE54" s="475">
        <v>8986940</v>
      </c>
      <c r="EF54" s="475">
        <v>135865</v>
      </c>
      <c r="EG54" s="475">
        <v>1386783</v>
      </c>
      <c r="EH54" s="475">
        <v>66230</v>
      </c>
      <c r="EI54" s="475">
        <v>25559</v>
      </c>
      <c r="EJ54" s="475">
        <v>32</v>
      </c>
      <c r="EK54" s="475">
        <v>13</v>
      </c>
      <c r="EL54" s="475">
        <v>450725</v>
      </c>
      <c r="EM54" s="475">
        <v>1624475</v>
      </c>
      <c r="EN54" s="475">
        <v>52300</v>
      </c>
      <c r="EO54" s="475">
        <v>265282</v>
      </c>
      <c r="EP54" s="476">
        <v>0</v>
      </c>
      <c r="EQ54" s="476">
        <v>0</v>
      </c>
      <c r="ER54" s="476">
        <v>0</v>
      </c>
      <c r="ES54" s="476">
        <v>0</v>
      </c>
      <c r="ET54" s="476">
        <v>0</v>
      </c>
      <c r="EU54" s="476">
        <v>0</v>
      </c>
    </row>
    <row r="55" spans="1:151" ht="15.5">
      <c r="A55" s="474" t="s">
        <v>765</v>
      </c>
      <c r="B55" s="475">
        <v>283755</v>
      </c>
      <c r="C55" s="475">
        <v>283327</v>
      </c>
      <c r="D55" s="475">
        <v>97442245</v>
      </c>
      <c r="E55" s="475">
        <v>83631</v>
      </c>
      <c r="F55" s="475">
        <v>97525876</v>
      </c>
      <c r="G55" s="475">
        <v>9256703</v>
      </c>
      <c r="H55" s="475">
        <v>88282280</v>
      </c>
      <c r="I55" s="475">
        <v>6567219</v>
      </c>
      <c r="J55" s="475">
        <v>255431</v>
      </c>
      <c r="K55" s="475">
        <v>70563023</v>
      </c>
      <c r="L55" s="475">
        <v>244259</v>
      </c>
      <c r="M55" s="475">
        <v>1007182</v>
      </c>
      <c r="N55" s="475">
        <v>186672</v>
      </c>
      <c r="O55" s="475">
        <v>2587765</v>
      </c>
      <c r="P55" s="475">
        <v>46898</v>
      </c>
      <c r="Q55" s="475">
        <v>3280378</v>
      </c>
      <c r="R55" s="475">
        <v>46438</v>
      </c>
      <c r="S55" s="475">
        <v>3625389</v>
      </c>
      <c r="T55" s="475">
        <v>16555</v>
      </c>
      <c r="U55" s="475">
        <v>-214768</v>
      </c>
      <c r="V55" s="475">
        <v>134308</v>
      </c>
      <c r="W55" s="475">
        <v>5915377</v>
      </c>
      <c r="X55" s="475">
        <v>53431</v>
      </c>
      <c r="Y55" s="475">
        <v>-116276</v>
      </c>
      <c r="Z55" s="475">
        <v>38413</v>
      </c>
      <c r="AA55" s="475">
        <v>1504489</v>
      </c>
      <c r="AB55" s="475">
        <v>13380</v>
      </c>
      <c r="AC55" s="475">
        <v>-402635</v>
      </c>
      <c r="AD55" s="475">
        <v>65904</v>
      </c>
      <c r="AE55" s="475">
        <v>8935911</v>
      </c>
      <c r="AF55" s="475">
        <v>45052</v>
      </c>
      <c r="AG55" s="475">
        <v>1706727</v>
      </c>
      <c r="AH55" s="475">
        <v>6316</v>
      </c>
      <c r="AI55" s="475">
        <v>336155</v>
      </c>
      <c r="AJ55" s="475">
        <v>642</v>
      </c>
      <c r="AK55" s="475">
        <v>5919</v>
      </c>
      <c r="AL55" s="475">
        <v>704</v>
      </c>
      <c r="AM55" s="475">
        <v>72621</v>
      </c>
      <c r="AN55" s="475">
        <v>1503</v>
      </c>
      <c r="AO55" s="475">
        <v>-94767</v>
      </c>
      <c r="AP55" s="475">
        <v>102536</v>
      </c>
      <c r="AQ55" s="475">
        <v>3957574</v>
      </c>
      <c r="AR55" s="475">
        <v>11381</v>
      </c>
      <c r="AS55" s="475">
        <v>411612</v>
      </c>
      <c r="AT55" s="475">
        <v>283690</v>
      </c>
      <c r="AU55" s="475">
        <v>98842155</v>
      </c>
      <c r="AV55" s="475">
        <v>5488</v>
      </c>
      <c r="AW55" s="475">
        <v>54119</v>
      </c>
      <c r="AX55" s="475">
        <v>33</v>
      </c>
      <c r="AY55" s="475">
        <v>38</v>
      </c>
      <c r="AZ55" s="475">
        <v>0</v>
      </c>
      <c r="BA55" s="475">
        <v>0</v>
      </c>
      <c r="BB55" s="475">
        <v>0</v>
      </c>
      <c r="BC55" s="475">
        <v>0</v>
      </c>
      <c r="BD55" s="475">
        <v>57376</v>
      </c>
      <c r="BE55" s="475">
        <v>241313</v>
      </c>
      <c r="BF55" s="475">
        <v>27477</v>
      </c>
      <c r="BG55" s="475">
        <v>381486</v>
      </c>
      <c r="BH55" s="475">
        <v>16711</v>
      </c>
      <c r="BI55" s="475">
        <v>539647</v>
      </c>
      <c r="BJ55" s="475">
        <v>1581</v>
      </c>
      <c r="BK55" s="475">
        <v>1024</v>
      </c>
      <c r="BL55" s="475">
        <v>3338</v>
      </c>
      <c r="BM55" s="475">
        <v>170135</v>
      </c>
      <c r="BN55" s="475">
        <v>0</v>
      </c>
      <c r="BO55" s="475">
        <v>0</v>
      </c>
      <c r="BP55" s="475">
        <v>85247</v>
      </c>
      <c r="BQ55" s="475">
        <v>1448136</v>
      </c>
      <c r="BR55" s="475">
        <v>101691</v>
      </c>
      <c r="BS55" s="475">
        <v>1769002</v>
      </c>
      <c r="BT55" s="475">
        <v>135505</v>
      </c>
      <c r="BU55" s="475">
        <v>1852632</v>
      </c>
      <c r="BV55" s="475">
        <v>6878</v>
      </c>
      <c r="BW55" s="475">
        <v>224885</v>
      </c>
      <c r="BX55" s="475">
        <v>174189</v>
      </c>
      <c r="BY55" s="475">
        <v>4524049</v>
      </c>
      <c r="BZ55" s="475">
        <v>164450</v>
      </c>
      <c r="CA55" s="475">
        <v>1956670</v>
      </c>
      <c r="CB55" s="475">
        <v>120519</v>
      </c>
      <c r="CC55" s="475">
        <v>77848</v>
      </c>
      <c r="CD55" s="475">
        <v>8565</v>
      </c>
      <c r="CE55" s="475">
        <v>8898</v>
      </c>
      <c r="CF55" s="475">
        <v>174229</v>
      </c>
      <c r="CG55" s="475">
        <v>6567465</v>
      </c>
      <c r="CH55" s="475">
        <v>160016</v>
      </c>
      <c r="CI55" s="475">
        <v>3662126</v>
      </c>
      <c r="CJ55" s="475">
        <v>32633</v>
      </c>
      <c r="CK55" s="475">
        <v>155935</v>
      </c>
      <c r="CL55" s="475">
        <v>162453</v>
      </c>
      <c r="CM55" s="475">
        <v>3818061</v>
      </c>
      <c r="CN55" s="475">
        <v>142977</v>
      </c>
      <c r="CO55" s="475">
        <v>1062529</v>
      </c>
      <c r="CP55" s="475">
        <v>104782</v>
      </c>
      <c r="CQ55" s="475">
        <v>280792</v>
      </c>
      <c r="CR55" s="475">
        <v>832</v>
      </c>
      <c r="CS55" s="475">
        <v>21145</v>
      </c>
      <c r="CT55" s="475">
        <v>155351</v>
      </c>
      <c r="CU55" s="475">
        <v>1364466</v>
      </c>
      <c r="CV55" s="475">
        <v>0</v>
      </c>
      <c r="CW55" s="475">
        <v>0</v>
      </c>
      <c r="CX55" s="475">
        <v>37603</v>
      </c>
      <c r="CY55" s="475">
        <v>613438</v>
      </c>
      <c r="CZ55" s="475">
        <v>174229</v>
      </c>
      <c r="DA55" s="475">
        <v>7340048</v>
      </c>
      <c r="DB55" s="475">
        <v>434</v>
      </c>
      <c r="DC55" s="475">
        <v>7869</v>
      </c>
      <c r="DD55" s="475">
        <v>221884</v>
      </c>
      <c r="DE55" s="475">
        <v>8785233</v>
      </c>
      <c r="DF55" s="475">
        <v>61871</v>
      </c>
      <c r="DG55" s="475">
        <v>471470</v>
      </c>
      <c r="DH55" s="475">
        <v>515897</v>
      </c>
      <c r="DI55" s="475">
        <v>62939</v>
      </c>
      <c r="DJ55" s="475">
        <v>270668</v>
      </c>
      <c r="DK55" s="475">
        <v>102312</v>
      </c>
      <c r="DL55" s="475">
        <v>69571</v>
      </c>
      <c r="DM55" s="475">
        <v>36</v>
      </c>
      <c r="DN55" s="475">
        <v>241090</v>
      </c>
      <c r="DO55" s="475">
        <v>163480</v>
      </c>
      <c r="DP55" s="475">
        <v>11345</v>
      </c>
      <c r="DQ55" s="475">
        <v>30248</v>
      </c>
      <c r="DR55" s="475">
        <v>13387</v>
      </c>
      <c r="DS55" s="475">
        <v>47865</v>
      </c>
      <c r="DT55" s="475">
        <v>0</v>
      </c>
      <c r="DU55" s="475">
        <v>0</v>
      </c>
      <c r="DV55" s="475">
        <v>0</v>
      </c>
      <c r="DW55" s="475">
        <v>0</v>
      </c>
      <c r="DX55" s="475">
        <v>1501</v>
      </c>
      <c r="DY55" s="475">
        <v>17746</v>
      </c>
      <c r="DZ55" s="475">
        <v>0</v>
      </c>
      <c r="EA55" s="475">
        <v>0</v>
      </c>
      <c r="EB55" s="475">
        <v>8942</v>
      </c>
      <c r="EC55" s="475">
        <v>8802</v>
      </c>
      <c r="ED55" s="475">
        <v>261584</v>
      </c>
      <c r="EE55" s="475">
        <v>5554775</v>
      </c>
      <c r="EF55" s="475">
        <v>75290</v>
      </c>
      <c r="EG55" s="475">
        <v>1209623</v>
      </c>
      <c r="EH55" s="475">
        <v>32714</v>
      </c>
      <c r="EI55" s="475">
        <v>16570</v>
      </c>
      <c r="EJ55" s="475" t="s">
        <v>714</v>
      </c>
      <c r="EK55" s="475">
        <v>1</v>
      </c>
      <c r="EL55" s="475">
        <v>184365</v>
      </c>
      <c r="EM55" s="475">
        <v>951792</v>
      </c>
      <c r="EN55" s="475">
        <v>32647</v>
      </c>
      <c r="EO55" s="475">
        <v>251402</v>
      </c>
      <c r="EP55" s="476">
        <v>0</v>
      </c>
      <c r="EQ55" s="476">
        <v>0</v>
      </c>
      <c r="ER55" s="476">
        <v>0</v>
      </c>
      <c r="ES55" s="476">
        <v>0</v>
      </c>
      <c r="ET55" s="476">
        <v>0</v>
      </c>
      <c r="EU55" s="476">
        <v>0</v>
      </c>
    </row>
    <row r="56" spans="1:151" ht="15.5">
      <c r="A56" s="474" t="s">
        <v>766</v>
      </c>
      <c r="B56" s="475">
        <v>137275</v>
      </c>
      <c r="C56" s="475">
        <v>137050</v>
      </c>
      <c r="D56" s="475">
        <v>60751252</v>
      </c>
      <c r="E56" s="475">
        <v>322733</v>
      </c>
      <c r="F56" s="475">
        <v>61073985</v>
      </c>
      <c r="G56" s="475">
        <v>5100460</v>
      </c>
      <c r="H56" s="475">
        <v>55987552</v>
      </c>
      <c r="I56" s="475">
        <v>4448344</v>
      </c>
      <c r="J56" s="475">
        <v>122141</v>
      </c>
      <c r="K56" s="475">
        <v>41928319</v>
      </c>
      <c r="L56" s="475">
        <v>122295</v>
      </c>
      <c r="M56" s="475">
        <v>707427</v>
      </c>
      <c r="N56" s="475">
        <v>100118</v>
      </c>
      <c r="O56" s="475">
        <v>1874456</v>
      </c>
      <c r="P56" s="475">
        <v>20625</v>
      </c>
      <c r="Q56" s="475">
        <v>1438155</v>
      </c>
      <c r="R56" s="475">
        <v>23481</v>
      </c>
      <c r="S56" s="475">
        <v>2361893</v>
      </c>
      <c r="T56" s="475">
        <v>8053</v>
      </c>
      <c r="U56" s="475">
        <v>-146353</v>
      </c>
      <c r="V56" s="475">
        <v>73949</v>
      </c>
      <c r="W56" s="475">
        <v>4700432</v>
      </c>
      <c r="X56" s="475">
        <v>29151</v>
      </c>
      <c r="Y56" s="475">
        <v>-65935</v>
      </c>
      <c r="Z56" s="475">
        <v>21221</v>
      </c>
      <c r="AA56" s="475">
        <v>940498</v>
      </c>
      <c r="AB56" s="475">
        <v>7117</v>
      </c>
      <c r="AC56" s="475">
        <v>-303137</v>
      </c>
      <c r="AD56" s="475">
        <v>40243</v>
      </c>
      <c r="AE56" s="475">
        <v>7250444</v>
      </c>
      <c r="AF56" s="475">
        <v>28823</v>
      </c>
      <c r="AG56" s="475">
        <v>1221307</v>
      </c>
      <c r="AH56" s="475">
        <v>3588</v>
      </c>
      <c r="AI56" s="475">
        <v>309219</v>
      </c>
      <c r="AJ56" s="475">
        <v>367</v>
      </c>
      <c r="AK56" s="475">
        <v>10320</v>
      </c>
      <c r="AL56" s="475">
        <v>371</v>
      </c>
      <c r="AM56" s="475">
        <v>34226</v>
      </c>
      <c r="AN56" s="475">
        <v>804</v>
      </c>
      <c r="AO56" s="475">
        <v>-69494</v>
      </c>
      <c r="AP56" s="475">
        <v>50313</v>
      </c>
      <c r="AQ56" s="475">
        <v>2264452</v>
      </c>
      <c r="AR56" s="475">
        <v>6228</v>
      </c>
      <c r="AS56" s="475">
        <v>262720</v>
      </c>
      <c r="AT56" s="475">
        <v>137275</v>
      </c>
      <c r="AU56" s="475">
        <v>61740530</v>
      </c>
      <c r="AV56" s="475">
        <v>2745</v>
      </c>
      <c r="AW56" s="475">
        <v>28937</v>
      </c>
      <c r="AX56" s="475" t="s">
        <v>714</v>
      </c>
      <c r="AY56" s="475">
        <v>11</v>
      </c>
      <c r="AZ56" s="475" t="s">
        <v>714</v>
      </c>
      <c r="BA56" s="475">
        <v>21</v>
      </c>
      <c r="BB56" s="475">
        <v>0</v>
      </c>
      <c r="BC56" s="475">
        <v>0</v>
      </c>
      <c r="BD56" s="475">
        <v>30928</v>
      </c>
      <c r="BE56" s="475">
        <v>158571</v>
      </c>
      <c r="BF56" s="475">
        <v>16154</v>
      </c>
      <c r="BG56" s="475">
        <v>238655</v>
      </c>
      <c r="BH56" s="475">
        <v>11095</v>
      </c>
      <c r="BI56" s="475">
        <v>442624</v>
      </c>
      <c r="BJ56" s="475">
        <v>855</v>
      </c>
      <c r="BK56" s="475">
        <v>602</v>
      </c>
      <c r="BL56" s="475">
        <v>1711</v>
      </c>
      <c r="BM56" s="475">
        <v>94595</v>
      </c>
      <c r="BN56" s="475">
        <v>0</v>
      </c>
      <c r="BO56" s="475">
        <v>0</v>
      </c>
      <c r="BP56" s="475">
        <v>43877</v>
      </c>
      <c r="BQ56" s="475">
        <v>1006970</v>
      </c>
      <c r="BR56" s="475">
        <v>53402</v>
      </c>
      <c r="BS56" s="475">
        <v>1067981</v>
      </c>
      <c r="BT56" s="475">
        <v>73706</v>
      </c>
      <c r="BU56" s="475">
        <v>1390713</v>
      </c>
      <c r="BV56" s="475">
        <v>2727</v>
      </c>
      <c r="BW56" s="475">
        <v>140179</v>
      </c>
      <c r="BX56" s="475">
        <v>90398</v>
      </c>
      <c r="BY56" s="475">
        <v>3313075</v>
      </c>
      <c r="BZ56" s="475">
        <v>85261</v>
      </c>
      <c r="CA56" s="475">
        <v>1190258</v>
      </c>
      <c r="CB56" s="475">
        <v>60471</v>
      </c>
      <c r="CC56" s="475">
        <v>40058</v>
      </c>
      <c r="CD56" s="475">
        <v>3919</v>
      </c>
      <c r="CE56" s="475">
        <v>4847</v>
      </c>
      <c r="CF56" s="475">
        <v>90444</v>
      </c>
      <c r="CG56" s="475">
        <v>4548238</v>
      </c>
      <c r="CH56" s="475">
        <v>82743</v>
      </c>
      <c r="CI56" s="475">
        <v>1988738</v>
      </c>
      <c r="CJ56" s="475">
        <v>18529</v>
      </c>
      <c r="CK56" s="475">
        <v>123766</v>
      </c>
      <c r="CL56" s="475">
        <v>84375</v>
      </c>
      <c r="CM56" s="475">
        <v>2112503</v>
      </c>
      <c r="CN56" s="475">
        <v>75190</v>
      </c>
      <c r="CO56" s="475">
        <v>684663</v>
      </c>
      <c r="CP56" s="475">
        <v>52258</v>
      </c>
      <c r="CQ56" s="475">
        <v>196135</v>
      </c>
      <c r="CR56" s="475">
        <v>744</v>
      </c>
      <c r="CS56" s="475">
        <v>44487</v>
      </c>
      <c r="CT56" s="475">
        <v>80768</v>
      </c>
      <c r="CU56" s="475">
        <v>925295</v>
      </c>
      <c r="CV56" s="475">
        <v>0</v>
      </c>
      <c r="CW56" s="475">
        <v>0</v>
      </c>
      <c r="CX56" s="475">
        <v>17232</v>
      </c>
      <c r="CY56" s="475">
        <v>470955</v>
      </c>
      <c r="CZ56" s="475">
        <v>90457</v>
      </c>
      <c r="DA56" s="475">
        <v>4293457</v>
      </c>
      <c r="DB56" s="475">
        <v>164</v>
      </c>
      <c r="DC56" s="475">
        <v>391</v>
      </c>
      <c r="DD56" s="475">
        <v>107812</v>
      </c>
      <c r="DE56" s="475">
        <v>4874834</v>
      </c>
      <c r="DF56" s="475">
        <v>29463</v>
      </c>
      <c r="DG56" s="475">
        <v>225626</v>
      </c>
      <c r="DH56" s="475">
        <v>251494</v>
      </c>
      <c r="DI56" s="475">
        <v>30682</v>
      </c>
      <c r="DJ56" s="475">
        <v>135123</v>
      </c>
      <c r="DK56" s="475">
        <v>51076</v>
      </c>
      <c r="DL56" s="475">
        <v>34676</v>
      </c>
      <c r="DM56" s="475">
        <v>19</v>
      </c>
      <c r="DN56" s="475">
        <v>95317</v>
      </c>
      <c r="DO56" s="475">
        <v>45283</v>
      </c>
      <c r="DP56" s="475">
        <v>7602</v>
      </c>
      <c r="DQ56" s="475">
        <v>32375</v>
      </c>
      <c r="DR56" s="475">
        <v>8909</v>
      </c>
      <c r="DS56" s="475">
        <v>46297</v>
      </c>
      <c r="DT56" s="475">
        <v>0</v>
      </c>
      <c r="DU56" s="475">
        <v>0</v>
      </c>
      <c r="DV56" s="475">
        <v>0</v>
      </c>
      <c r="DW56" s="475">
        <v>0</v>
      </c>
      <c r="DX56" s="475">
        <v>865</v>
      </c>
      <c r="DY56" s="475">
        <v>8295</v>
      </c>
      <c r="DZ56" s="475">
        <v>0</v>
      </c>
      <c r="EA56" s="475">
        <v>0</v>
      </c>
      <c r="EB56" s="475">
        <v>3475</v>
      </c>
      <c r="EC56" s="475">
        <v>4337</v>
      </c>
      <c r="ED56" s="475">
        <v>124490</v>
      </c>
      <c r="EE56" s="475">
        <v>3501318</v>
      </c>
      <c r="EF56" s="475">
        <v>45539</v>
      </c>
      <c r="EG56" s="475">
        <v>1004543</v>
      </c>
      <c r="EH56" s="475">
        <v>15946</v>
      </c>
      <c r="EI56" s="475">
        <v>9634</v>
      </c>
      <c r="EJ56" s="475" t="s">
        <v>714</v>
      </c>
      <c r="EK56" s="475">
        <v>0</v>
      </c>
      <c r="EL56" s="475">
        <v>85980</v>
      </c>
      <c r="EM56" s="475">
        <v>597832</v>
      </c>
      <c r="EN56" s="475">
        <v>19625</v>
      </c>
      <c r="EO56" s="475">
        <v>194689</v>
      </c>
      <c r="EP56" s="476">
        <v>0</v>
      </c>
      <c r="EQ56" s="476">
        <v>0</v>
      </c>
      <c r="ER56" s="476">
        <v>0</v>
      </c>
      <c r="ES56" s="476">
        <v>0</v>
      </c>
      <c r="ET56" s="476">
        <v>0</v>
      </c>
      <c r="EU56" s="476">
        <v>0</v>
      </c>
    </row>
    <row r="57" spans="1:151" ht="15.5">
      <c r="A57" s="474" t="s">
        <v>767</v>
      </c>
      <c r="B57" s="475">
        <v>202697</v>
      </c>
      <c r="C57" s="475">
        <v>202329</v>
      </c>
      <c r="D57" s="475">
        <v>134202012</v>
      </c>
      <c r="E57" s="475">
        <v>2167190</v>
      </c>
      <c r="F57" s="475">
        <v>136368588</v>
      </c>
      <c r="G57" s="475">
        <v>8108750</v>
      </c>
      <c r="H57" s="475">
        <v>128309185</v>
      </c>
      <c r="I57" s="475">
        <v>11124163</v>
      </c>
      <c r="J57" s="475">
        <v>177531</v>
      </c>
      <c r="K57" s="475">
        <v>84614014</v>
      </c>
      <c r="L57" s="475">
        <v>188958</v>
      </c>
      <c r="M57" s="475">
        <v>1893831</v>
      </c>
      <c r="N57" s="475">
        <v>158989</v>
      </c>
      <c r="O57" s="475">
        <v>5028405</v>
      </c>
      <c r="P57" s="475">
        <v>27925</v>
      </c>
      <c r="Q57" s="475">
        <v>1771667</v>
      </c>
      <c r="R57" s="475">
        <v>34949</v>
      </c>
      <c r="S57" s="475">
        <v>4923006</v>
      </c>
      <c r="T57" s="475">
        <v>12201</v>
      </c>
      <c r="U57" s="475">
        <v>-269742</v>
      </c>
      <c r="V57" s="475">
        <v>121246</v>
      </c>
      <c r="W57" s="475">
        <v>13971995</v>
      </c>
      <c r="X57" s="475">
        <v>43911</v>
      </c>
      <c r="Y57" s="475">
        <v>-105110</v>
      </c>
      <c r="Z57" s="475">
        <v>38510</v>
      </c>
      <c r="AA57" s="475">
        <v>2399103</v>
      </c>
      <c r="AB57" s="475">
        <v>13759</v>
      </c>
      <c r="AC57" s="475">
        <v>-581202</v>
      </c>
      <c r="AD57" s="475">
        <v>77889</v>
      </c>
      <c r="AE57" s="475">
        <v>22813407</v>
      </c>
      <c r="AF57" s="475">
        <v>58658</v>
      </c>
      <c r="AG57" s="475">
        <v>4179593</v>
      </c>
      <c r="AH57" s="475">
        <v>6851</v>
      </c>
      <c r="AI57" s="475">
        <v>829827</v>
      </c>
      <c r="AJ57" s="475">
        <v>1049</v>
      </c>
      <c r="AK57" s="475">
        <v>103978</v>
      </c>
      <c r="AL57" s="475">
        <v>642</v>
      </c>
      <c r="AM57" s="475">
        <v>79289</v>
      </c>
      <c r="AN57" s="475">
        <v>1425</v>
      </c>
      <c r="AO57" s="475">
        <v>-143199</v>
      </c>
      <c r="AP57" s="475">
        <v>78871</v>
      </c>
      <c r="AQ57" s="475">
        <v>4290918</v>
      </c>
      <c r="AR57" s="475">
        <v>13108</v>
      </c>
      <c r="AS57" s="475">
        <v>910329</v>
      </c>
      <c r="AT57" s="475">
        <v>202686</v>
      </c>
      <c r="AU57" s="475">
        <v>136342389</v>
      </c>
      <c r="AV57" s="475">
        <v>4329</v>
      </c>
      <c r="AW57" s="475">
        <v>46557</v>
      </c>
      <c r="AX57" s="475">
        <v>27</v>
      </c>
      <c r="AY57" s="475">
        <v>49</v>
      </c>
      <c r="AZ57" s="475" t="s">
        <v>714</v>
      </c>
      <c r="BA57" s="475">
        <v>15</v>
      </c>
      <c r="BB57" s="475">
        <v>0</v>
      </c>
      <c r="BC57" s="475">
        <v>0</v>
      </c>
      <c r="BD57" s="475">
        <v>51192</v>
      </c>
      <c r="BE57" s="475">
        <v>328514</v>
      </c>
      <c r="BF57" s="475">
        <v>30187</v>
      </c>
      <c r="BG57" s="475">
        <v>495874</v>
      </c>
      <c r="BH57" s="475">
        <v>20302</v>
      </c>
      <c r="BI57" s="475">
        <v>974717</v>
      </c>
      <c r="BJ57" s="475">
        <v>1406</v>
      </c>
      <c r="BK57" s="475">
        <v>1494</v>
      </c>
      <c r="BL57" s="475">
        <v>3288</v>
      </c>
      <c r="BM57" s="475">
        <v>282754</v>
      </c>
      <c r="BN57" s="475">
        <v>0</v>
      </c>
      <c r="BO57" s="475">
        <v>0</v>
      </c>
      <c r="BP57" s="475">
        <v>72250</v>
      </c>
      <c r="BQ57" s="475">
        <v>2195493</v>
      </c>
      <c r="BR57" s="475">
        <v>86852</v>
      </c>
      <c r="BS57" s="475">
        <v>2216532</v>
      </c>
      <c r="BT57" s="475">
        <v>122235</v>
      </c>
      <c r="BU57" s="475">
        <v>4383722</v>
      </c>
      <c r="BV57" s="475">
        <v>2859</v>
      </c>
      <c r="BW57" s="475">
        <v>203859</v>
      </c>
      <c r="BX57" s="475">
        <v>144560</v>
      </c>
      <c r="BY57" s="475">
        <v>8766615</v>
      </c>
      <c r="BZ57" s="475">
        <v>136704</v>
      </c>
      <c r="CA57" s="475">
        <v>2430571</v>
      </c>
      <c r="CB57" s="475">
        <v>92702</v>
      </c>
      <c r="CC57" s="475">
        <v>66312</v>
      </c>
      <c r="CD57" s="475">
        <v>5737</v>
      </c>
      <c r="CE57" s="475">
        <v>9332</v>
      </c>
      <c r="CF57" s="475">
        <v>144688</v>
      </c>
      <c r="CG57" s="475">
        <v>11272831</v>
      </c>
      <c r="CH57" s="475">
        <v>130020</v>
      </c>
      <c r="CI57" s="475">
        <v>3296020</v>
      </c>
      <c r="CJ57" s="475">
        <v>36922</v>
      </c>
      <c r="CK57" s="475">
        <v>452161</v>
      </c>
      <c r="CL57" s="475">
        <v>134748</v>
      </c>
      <c r="CM57" s="475">
        <v>3748181</v>
      </c>
      <c r="CN57" s="475">
        <v>124241</v>
      </c>
      <c r="CO57" s="475">
        <v>1582923</v>
      </c>
      <c r="CP57" s="475">
        <v>80801</v>
      </c>
      <c r="CQ57" s="475">
        <v>562672</v>
      </c>
      <c r="CR57" s="475">
        <v>1434</v>
      </c>
      <c r="CS57" s="475">
        <v>113910</v>
      </c>
      <c r="CT57" s="475">
        <v>131836</v>
      </c>
      <c r="CU57" s="475">
        <v>2259504</v>
      </c>
      <c r="CV57" s="475" t="s">
        <v>714</v>
      </c>
      <c r="CW57" s="475">
        <v>1984</v>
      </c>
      <c r="CX57" s="475">
        <v>27839</v>
      </c>
      <c r="CY57" s="475">
        <v>1118749</v>
      </c>
      <c r="CZ57" s="475">
        <v>144698</v>
      </c>
      <c r="DA57" s="475">
        <v>8203040</v>
      </c>
      <c r="DB57" s="475">
        <v>386</v>
      </c>
      <c r="DC57" s="475">
        <v>2771</v>
      </c>
      <c r="DD57" s="475">
        <v>145913</v>
      </c>
      <c r="DE57" s="475">
        <v>7649493</v>
      </c>
      <c r="DF57" s="475">
        <v>56785</v>
      </c>
      <c r="DG57" s="475">
        <v>459258</v>
      </c>
      <c r="DH57" s="475">
        <v>371327</v>
      </c>
      <c r="DI57" s="475">
        <v>45302</v>
      </c>
      <c r="DJ57" s="475">
        <v>205345</v>
      </c>
      <c r="DK57" s="475">
        <v>77620</v>
      </c>
      <c r="DL57" s="475">
        <v>53915</v>
      </c>
      <c r="DM57" s="475">
        <v>24</v>
      </c>
      <c r="DN57" s="475">
        <v>29114</v>
      </c>
      <c r="DO57" s="475">
        <v>5986</v>
      </c>
      <c r="DP57" s="475">
        <v>18377</v>
      </c>
      <c r="DQ57" s="475">
        <v>134931</v>
      </c>
      <c r="DR57" s="475">
        <v>21315</v>
      </c>
      <c r="DS57" s="475">
        <v>183757</v>
      </c>
      <c r="DT57" s="475">
        <v>0</v>
      </c>
      <c r="DU57" s="475">
        <v>0</v>
      </c>
      <c r="DV57" s="475">
        <v>0</v>
      </c>
      <c r="DW57" s="475">
        <v>0</v>
      </c>
      <c r="DX57" s="475">
        <v>1554</v>
      </c>
      <c r="DY57" s="475">
        <v>19660</v>
      </c>
      <c r="DZ57" s="475" t="s">
        <v>714</v>
      </c>
      <c r="EA57" s="475">
        <v>18</v>
      </c>
      <c r="EB57" s="475">
        <v>4001</v>
      </c>
      <c r="EC57" s="475">
        <v>5335</v>
      </c>
      <c r="ED57" s="475">
        <v>179427</v>
      </c>
      <c r="EE57" s="475">
        <v>7623971</v>
      </c>
      <c r="EF57" s="475">
        <v>89425</v>
      </c>
      <c r="EG57" s="475">
        <v>3517282</v>
      </c>
      <c r="EH57" s="475">
        <v>23670</v>
      </c>
      <c r="EI57" s="475">
        <v>15991</v>
      </c>
      <c r="EJ57" s="475" t="s">
        <v>714</v>
      </c>
      <c r="EK57" s="475">
        <v>0</v>
      </c>
      <c r="EL57" s="475">
        <v>119148</v>
      </c>
      <c r="EM57" s="475">
        <v>1475493</v>
      </c>
      <c r="EN57" s="475">
        <v>40491</v>
      </c>
      <c r="EO57" s="475">
        <v>733526</v>
      </c>
      <c r="EP57" s="476">
        <v>0</v>
      </c>
      <c r="EQ57" s="476">
        <v>0</v>
      </c>
      <c r="ER57" s="476">
        <v>0</v>
      </c>
      <c r="ES57" s="476">
        <v>0</v>
      </c>
      <c r="ET57" s="476">
        <v>0</v>
      </c>
      <c r="EU57" s="476">
        <v>0</v>
      </c>
    </row>
    <row r="58" spans="1:151" ht="15.5">
      <c r="A58" s="474" t="s">
        <v>768</v>
      </c>
      <c r="B58" s="475">
        <v>61289</v>
      </c>
      <c r="C58" s="475">
        <v>61232</v>
      </c>
      <c r="D58" s="475">
        <v>80473774</v>
      </c>
      <c r="E58" s="475">
        <v>2366351</v>
      </c>
      <c r="F58" s="475">
        <v>82840092</v>
      </c>
      <c r="G58" s="475">
        <v>3716336</v>
      </c>
      <c r="H58" s="475">
        <v>79176412</v>
      </c>
      <c r="I58" s="475">
        <v>8058575</v>
      </c>
      <c r="J58" s="475">
        <v>51069</v>
      </c>
      <c r="K58" s="475">
        <v>39682774</v>
      </c>
      <c r="L58" s="475">
        <v>59266</v>
      </c>
      <c r="M58" s="475">
        <v>1618303</v>
      </c>
      <c r="N58" s="475">
        <v>51437</v>
      </c>
      <c r="O58" s="475">
        <v>3852426</v>
      </c>
      <c r="P58" s="475">
        <v>8318</v>
      </c>
      <c r="Q58" s="475">
        <v>559476</v>
      </c>
      <c r="R58" s="475">
        <v>10970</v>
      </c>
      <c r="S58" s="475">
        <v>2546352</v>
      </c>
      <c r="T58" s="475">
        <v>3842</v>
      </c>
      <c r="U58" s="475">
        <v>-216526</v>
      </c>
      <c r="V58" s="475">
        <v>40281</v>
      </c>
      <c r="W58" s="475">
        <v>12789044</v>
      </c>
      <c r="X58" s="475">
        <v>13624</v>
      </c>
      <c r="Y58" s="475">
        <v>-35683</v>
      </c>
      <c r="Z58" s="475">
        <v>15454</v>
      </c>
      <c r="AA58" s="475">
        <v>1636523</v>
      </c>
      <c r="AB58" s="475">
        <v>5861</v>
      </c>
      <c r="AC58" s="475">
        <v>-362431</v>
      </c>
      <c r="AD58" s="475">
        <v>33588</v>
      </c>
      <c r="AE58" s="475">
        <v>20546541</v>
      </c>
      <c r="AF58" s="475">
        <v>27441</v>
      </c>
      <c r="AG58" s="475">
        <v>3724494</v>
      </c>
      <c r="AH58" s="475">
        <v>3021</v>
      </c>
      <c r="AI58" s="475">
        <v>677566</v>
      </c>
      <c r="AJ58" s="475">
        <v>585</v>
      </c>
      <c r="AK58" s="475">
        <v>30788</v>
      </c>
      <c r="AL58" s="475">
        <v>300</v>
      </c>
      <c r="AM58" s="475">
        <v>68507</v>
      </c>
      <c r="AN58" s="475">
        <v>721</v>
      </c>
      <c r="AO58" s="475">
        <v>-113047</v>
      </c>
      <c r="AP58" s="475">
        <v>28067</v>
      </c>
      <c r="AQ58" s="475">
        <v>2819522</v>
      </c>
      <c r="AR58" s="475">
        <v>6829</v>
      </c>
      <c r="AS58" s="475">
        <v>782176</v>
      </c>
      <c r="AT58" s="475">
        <v>61254</v>
      </c>
      <c r="AU58" s="475">
        <v>81535142</v>
      </c>
      <c r="AV58" s="475">
        <v>1463</v>
      </c>
      <c r="AW58" s="475">
        <v>15756</v>
      </c>
      <c r="AX58" s="475" t="s">
        <v>714</v>
      </c>
      <c r="AY58" s="475">
        <v>12</v>
      </c>
      <c r="AZ58" s="475" t="s">
        <v>714</v>
      </c>
      <c r="BA58" s="475">
        <v>2</v>
      </c>
      <c r="BB58" s="475">
        <v>0</v>
      </c>
      <c r="BC58" s="475">
        <v>0</v>
      </c>
      <c r="BD58" s="475">
        <v>18344</v>
      </c>
      <c r="BE58" s="475">
        <v>176408</v>
      </c>
      <c r="BF58" s="475">
        <v>12463</v>
      </c>
      <c r="BG58" s="475">
        <v>227668</v>
      </c>
      <c r="BH58" s="475">
        <v>7453</v>
      </c>
      <c r="BI58" s="475">
        <v>488547</v>
      </c>
      <c r="BJ58" s="475">
        <v>429</v>
      </c>
      <c r="BK58" s="475">
        <v>490</v>
      </c>
      <c r="BL58" s="475">
        <v>1349</v>
      </c>
      <c r="BM58" s="475">
        <v>180084</v>
      </c>
      <c r="BN58" s="475">
        <v>0</v>
      </c>
      <c r="BO58" s="475">
        <v>0</v>
      </c>
      <c r="BP58" s="475">
        <v>25883</v>
      </c>
      <c r="BQ58" s="475">
        <v>1119330</v>
      </c>
      <c r="BR58" s="475">
        <v>31346</v>
      </c>
      <c r="BS58" s="475">
        <v>1840781</v>
      </c>
      <c r="BT58" s="475">
        <v>42565</v>
      </c>
      <c r="BU58" s="475">
        <v>4207142</v>
      </c>
      <c r="BV58" s="475">
        <v>606</v>
      </c>
      <c r="BW58" s="475">
        <v>52070</v>
      </c>
      <c r="BX58" s="475">
        <v>47830</v>
      </c>
      <c r="BY58" s="475">
        <v>6938461</v>
      </c>
      <c r="BZ58" s="475">
        <v>45034</v>
      </c>
      <c r="CA58" s="475">
        <v>1136743</v>
      </c>
      <c r="CB58" s="475">
        <v>27423</v>
      </c>
      <c r="CC58" s="475">
        <v>24094</v>
      </c>
      <c r="CD58" s="475">
        <v>1908</v>
      </c>
      <c r="CE58" s="475">
        <v>6366</v>
      </c>
      <c r="CF58" s="475">
        <v>47886</v>
      </c>
      <c r="CG58" s="475">
        <v>8105664</v>
      </c>
      <c r="CH58" s="475">
        <v>39877</v>
      </c>
      <c r="CI58" s="475">
        <v>1029174</v>
      </c>
      <c r="CJ58" s="475">
        <v>17926</v>
      </c>
      <c r="CK58" s="475">
        <v>467102</v>
      </c>
      <c r="CL58" s="475">
        <v>43339</v>
      </c>
      <c r="CM58" s="475">
        <v>1496276</v>
      </c>
      <c r="CN58" s="475">
        <v>43096</v>
      </c>
      <c r="CO58" s="475">
        <v>1200294</v>
      </c>
      <c r="CP58" s="475">
        <v>24499</v>
      </c>
      <c r="CQ58" s="475">
        <v>564503</v>
      </c>
      <c r="CR58" s="475">
        <v>881</v>
      </c>
      <c r="CS58" s="475">
        <v>148772</v>
      </c>
      <c r="CT58" s="475">
        <v>44486</v>
      </c>
      <c r="CU58" s="475">
        <v>1912511</v>
      </c>
      <c r="CV58" s="475" t="s">
        <v>714</v>
      </c>
      <c r="CW58" s="475">
        <v>1847</v>
      </c>
      <c r="CX58" s="475">
        <v>11536</v>
      </c>
      <c r="CY58" s="475">
        <v>1023658</v>
      </c>
      <c r="CZ58" s="475">
        <v>47894</v>
      </c>
      <c r="DA58" s="475">
        <v>4515816</v>
      </c>
      <c r="DB58" s="475">
        <v>174</v>
      </c>
      <c r="DC58" s="475">
        <v>1883</v>
      </c>
      <c r="DD58" s="475">
        <v>40188</v>
      </c>
      <c r="DE58" s="475">
        <v>3539045</v>
      </c>
      <c r="DF58" s="475">
        <v>21099</v>
      </c>
      <c r="DG58" s="475">
        <v>177291</v>
      </c>
      <c r="DH58" s="475">
        <v>110642</v>
      </c>
      <c r="DI58" s="475">
        <v>13498</v>
      </c>
      <c r="DJ58" s="475">
        <v>60735</v>
      </c>
      <c r="DK58" s="475">
        <v>22958</v>
      </c>
      <c r="DL58" s="475">
        <v>20364</v>
      </c>
      <c r="DM58" s="475">
        <v>8</v>
      </c>
      <c r="DN58" s="475">
        <v>779</v>
      </c>
      <c r="DO58" s="475">
        <v>469</v>
      </c>
      <c r="DP58" s="475">
        <v>10627</v>
      </c>
      <c r="DQ58" s="475">
        <v>161471</v>
      </c>
      <c r="DR58" s="475">
        <v>12327</v>
      </c>
      <c r="DS58" s="475">
        <v>221163</v>
      </c>
      <c r="DT58" s="475">
        <v>0</v>
      </c>
      <c r="DU58" s="475">
        <v>0</v>
      </c>
      <c r="DV58" s="475">
        <v>0</v>
      </c>
      <c r="DW58" s="475">
        <v>0</v>
      </c>
      <c r="DX58" s="475">
        <v>427</v>
      </c>
      <c r="DY58" s="475">
        <v>11246</v>
      </c>
      <c r="DZ58" s="475">
        <v>55131</v>
      </c>
      <c r="EA58" s="475">
        <v>188402</v>
      </c>
      <c r="EB58" s="475">
        <v>871</v>
      </c>
      <c r="EC58" s="475">
        <v>1946</v>
      </c>
      <c r="ED58" s="475">
        <v>51064</v>
      </c>
      <c r="EE58" s="475">
        <v>3943373</v>
      </c>
      <c r="EF58" s="475">
        <v>41355</v>
      </c>
      <c r="EG58" s="475">
        <v>4238075</v>
      </c>
      <c r="EH58" s="475">
        <v>6923</v>
      </c>
      <c r="EI58" s="475">
        <v>5235</v>
      </c>
      <c r="EJ58" s="475" t="s">
        <v>714</v>
      </c>
      <c r="EK58" s="475">
        <v>1</v>
      </c>
      <c r="EL58" s="475">
        <v>32053</v>
      </c>
      <c r="EM58" s="475">
        <v>1253917</v>
      </c>
      <c r="EN58" s="475">
        <v>20539</v>
      </c>
      <c r="EO58" s="475">
        <v>938731</v>
      </c>
      <c r="EP58" s="476">
        <v>0</v>
      </c>
      <c r="EQ58" s="476">
        <v>0</v>
      </c>
      <c r="ER58" s="476">
        <v>0</v>
      </c>
      <c r="ES58" s="476">
        <v>0</v>
      </c>
      <c r="ET58" s="476">
        <v>0</v>
      </c>
      <c r="EU58" s="476">
        <v>0</v>
      </c>
    </row>
    <row r="59" spans="1:151" ht="15.5">
      <c r="A59" s="474" t="s">
        <v>769</v>
      </c>
      <c r="B59" s="475">
        <v>14920</v>
      </c>
      <c r="C59" s="475">
        <v>14911</v>
      </c>
      <c r="D59" s="475">
        <v>34229385</v>
      </c>
      <c r="E59" s="475">
        <v>1878453</v>
      </c>
      <c r="F59" s="475">
        <v>36107838</v>
      </c>
      <c r="G59" s="475">
        <v>1523635</v>
      </c>
      <c r="H59" s="475">
        <v>34587748</v>
      </c>
      <c r="I59" s="475">
        <v>3923148</v>
      </c>
      <c r="J59" s="475">
        <v>12086</v>
      </c>
      <c r="K59" s="475">
        <v>14445742</v>
      </c>
      <c r="L59" s="475">
        <v>14614</v>
      </c>
      <c r="M59" s="475">
        <v>876031</v>
      </c>
      <c r="N59" s="475">
        <v>13058</v>
      </c>
      <c r="O59" s="475">
        <v>1919631</v>
      </c>
      <c r="P59" s="475">
        <v>2026</v>
      </c>
      <c r="Q59" s="475">
        <v>148700</v>
      </c>
      <c r="R59" s="475">
        <v>2687</v>
      </c>
      <c r="S59" s="475">
        <v>870987</v>
      </c>
      <c r="T59" s="475">
        <v>1048</v>
      </c>
      <c r="U59" s="475">
        <v>-91784</v>
      </c>
      <c r="V59" s="475">
        <v>10367</v>
      </c>
      <c r="W59" s="475">
        <v>6994725</v>
      </c>
      <c r="X59" s="475">
        <v>3254</v>
      </c>
      <c r="Y59" s="475">
        <v>-8772</v>
      </c>
      <c r="Z59" s="475">
        <v>4418</v>
      </c>
      <c r="AA59" s="475">
        <v>665481</v>
      </c>
      <c r="AB59" s="475">
        <v>1688</v>
      </c>
      <c r="AC59" s="475">
        <v>-146044</v>
      </c>
      <c r="AD59" s="475">
        <v>9574</v>
      </c>
      <c r="AE59" s="475">
        <v>10179504</v>
      </c>
      <c r="AF59" s="475">
        <v>8276</v>
      </c>
      <c r="AG59" s="475">
        <v>2102968</v>
      </c>
      <c r="AH59" s="475">
        <v>910</v>
      </c>
      <c r="AI59" s="475">
        <v>348620</v>
      </c>
      <c r="AJ59" s="475">
        <v>250</v>
      </c>
      <c r="AK59" s="475">
        <v>24536</v>
      </c>
      <c r="AL59" s="475">
        <v>98</v>
      </c>
      <c r="AM59" s="475">
        <v>32973</v>
      </c>
      <c r="AN59" s="475">
        <v>234</v>
      </c>
      <c r="AO59" s="475">
        <v>-47206</v>
      </c>
      <c r="AP59" s="475">
        <v>7671</v>
      </c>
      <c r="AQ59" s="475">
        <v>998406</v>
      </c>
      <c r="AR59" s="475">
        <v>2086</v>
      </c>
      <c r="AS59" s="475">
        <v>490856</v>
      </c>
      <c r="AT59" s="475">
        <v>14916</v>
      </c>
      <c r="AU59" s="475">
        <v>34575394</v>
      </c>
      <c r="AV59" s="475">
        <v>344</v>
      </c>
      <c r="AW59" s="475">
        <v>3694</v>
      </c>
      <c r="AX59" s="475">
        <v>0</v>
      </c>
      <c r="AY59" s="475">
        <v>0</v>
      </c>
      <c r="AZ59" s="475" t="s">
        <v>714</v>
      </c>
      <c r="BA59" s="475">
        <v>4</v>
      </c>
      <c r="BB59" s="475">
        <v>0</v>
      </c>
      <c r="BC59" s="475">
        <v>0</v>
      </c>
      <c r="BD59" s="475">
        <v>4976</v>
      </c>
      <c r="BE59" s="475">
        <v>66116</v>
      </c>
      <c r="BF59" s="475">
        <v>3372</v>
      </c>
      <c r="BG59" s="475">
        <v>66185</v>
      </c>
      <c r="BH59" s="475">
        <v>1893</v>
      </c>
      <c r="BI59" s="475">
        <v>142427</v>
      </c>
      <c r="BJ59" s="475">
        <v>113</v>
      </c>
      <c r="BK59" s="475">
        <v>466</v>
      </c>
      <c r="BL59" s="475">
        <v>403</v>
      </c>
      <c r="BM59" s="475">
        <v>73796</v>
      </c>
      <c r="BN59" s="475">
        <v>0</v>
      </c>
      <c r="BO59" s="475">
        <v>0</v>
      </c>
      <c r="BP59" s="475">
        <v>6806</v>
      </c>
      <c r="BQ59" s="475">
        <v>360235</v>
      </c>
      <c r="BR59" s="475">
        <v>8714</v>
      </c>
      <c r="BS59" s="475">
        <v>663006</v>
      </c>
      <c r="BT59" s="475">
        <v>11255</v>
      </c>
      <c r="BU59" s="475">
        <v>2541459</v>
      </c>
      <c r="BV59" s="475">
        <v>123</v>
      </c>
      <c r="BW59" s="475">
        <v>15994</v>
      </c>
      <c r="BX59" s="475">
        <v>12136</v>
      </c>
      <c r="BY59" s="475">
        <v>3433144</v>
      </c>
      <c r="BZ59" s="475">
        <v>11362</v>
      </c>
      <c r="CA59" s="475">
        <v>391688</v>
      </c>
      <c r="CB59" s="475">
        <v>6573</v>
      </c>
      <c r="CC59" s="475">
        <v>7882</v>
      </c>
      <c r="CD59" s="475">
        <v>463</v>
      </c>
      <c r="CE59" s="475">
        <v>3123</v>
      </c>
      <c r="CF59" s="475">
        <v>12162</v>
      </c>
      <c r="CG59" s="475">
        <v>3835837</v>
      </c>
      <c r="CH59" s="475">
        <v>9379</v>
      </c>
      <c r="CI59" s="475">
        <v>245868</v>
      </c>
      <c r="CJ59" s="475">
        <v>5751</v>
      </c>
      <c r="CK59" s="475">
        <v>257211</v>
      </c>
      <c r="CL59" s="475">
        <v>10766</v>
      </c>
      <c r="CM59" s="475">
        <v>503079</v>
      </c>
      <c r="CN59" s="475">
        <v>11140</v>
      </c>
      <c r="CO59" s="475">
        <v>514732</v>
      </c>
      <c r="CP59" s="475">
        <v>6001</v>
      </c>
      <c r="CQ59" s="475">
        <v>332226</v>
      </c>
      <c r="CR59" s="475">
        <v>304</v>
      </c>
      <c r="CS59" s="475">
        <v>81374</v>
      </c>
      <c r="CT59" s="475">
        <v>11454</v>
      </c>
      <c r="CU59" s="475">
        <v>928333</v>
      </c>
      <c r="CV59" s="475">
        <v>0</v>
      </c>
      <c r="CW59" s="475">
        <v>0</v>
      </c>
      <c r="CX59" s="475">
        <v>3470</v>
      </c>
      <c r="CY59" s="475">
        <v>474640</v>
      </c>
      <c r="CZ59" s="475">
        <v>12166</v>
      </c>
      <c r="DA59" s="475">
        <v>1834369</v>
      </c>
      <c r="DB59" s="475">
        <v>55</v>
      </c>
      <c r="DC59" s="475">
        <v>525</v>
      </c>
      <c r="DD59" s="475">
        <v>11085</v>
      </c>
      <c r="DE59" s="475">
        <v>1491735</v>
      </c>
      <c r="DF59" s="475">
        <v>3835</v>
      </c>
      <c r="DG59" s="475">
        <v>31900</v>
      </c>
      <c r="DH59" s="475">
        <v>26718</v>
      </c>
      <c r="DI59" s="475">
        <v>3260</v>
      </c>
      <c r="DJ59" s="475">
        <v>14402</v>
      </c>
      <c r="DK59" s="475">
        <v>5444</v>
      </c>
      <c r="DL59" s="475">
        <v>5450</v>
      </c>
      <c r="DM59" s="475">
        <v>2</v>
      </c>
      <c r="DN59" s="475">
        <v>202</v>
      </c>
      <c r="DO59" s="475">
        <v>116</v>
      </c>
      <c r="DP59" s="475">
        <v>3626</v>
      </c>
      <c r="DQ59" s="475">
        <v>90272</v>
      </c>
      <c r="DR59" s="475">
        <v>4186</v>
      </c>
      <c r="DS59" s="475">
        <v>123132</v>
      </c>
      <c r="DT59" s="475">
        <v>0</v>
      </c>
      <c r="DU59" s="475">
        <v>0</v>
      </c>
      <c r="DV59" s="475">
        <v>0</v>
      </c>
      <c r="DW59" s="475">
        <v>0</v>
      </c>
      <c r="DX59" s="475">
        <v>63</v>
      </c>
      <c r="DY59" s="475">
        <v>2368</v>
      </c>
      <c r="DZ59" s="475">
        <v>14765</v>
      </c>
      <c r="EA59" s="475">
        <v>197579</v>
      </c>
      <c r="EB59" s="475">
        <v>196</v>
      </c>
      <c r="EC59" s="475">
        <v>356</v>
      </c>
      <c r="ED59" s="475">
        <v>11989</v>
      </c>
      <c r="EE59" s="475">
        <v>1517490</v>
      </c>
      <c r="EF59" s="475">
        <v>11796</v>
      </c>
      <c r="EG59" s="475">
        <v>2583075</v>
      </c>
      <c r="EH59" s="475">
        <v>1706</v>
      </c>
      <c r="EI59" s="475">
        <v>1376</v>
      </c>
      <c r="EJ59" s="475">
        <v>0</v>
      </c>
      <c r="EK59" s="475">
        <v>0</v>
      </c>
      <c r="EL59" s="475">
        <v>8470</v>
      </c>
      <c r="EM59" s="475">
        <v>684538</v>
      </c>
      <c r="EN59" s="475">
        <v>6294</v>
      </c>
      <c r="EO59" s="475">
        <v>554437</v>
      </c>
      <c r="EP59" s="476">
        <v>0</v>
      </c>
      <c r="EQ59" s="476">
        <v>0</v>
      </c>
      <c r="ER59" s="476">
        <v>0</v>
      </c>
      <c r="ES59" s="476">
        <v>0</v>
      </c>
      <c r="ET59" s="476">
        <v>0</v>
      </c>
      <c r="EU59" s="476">
        <v>0</v>
      </c>
    </row>
    <row r="60" spans="1:151" ht="15.5">
      <c r="A60" s="474" t="s">
        <v>770</v>
      </c>
      <c r="B60" s="475">
        <v>6286</v>
      </c>
      <c r="C60" s="475">
        <v>6280</v>
      </c>
      <c r="D60" s="475">
        <v>20578127</v>
      </c>
      <c r="E60" s="475">
        <v>1081417</v>
      </c>
      <c r="F60" s="475">
        <v>21659544</v>
      </c>
      <c r="G60" s="475">
        <v>890574</v>
      </c>
      <c r="H60" s="475">
        <v>20771006</v>
      </c>
      <c r="I60" s="475">
        <v>2447358</v>
      </c>
      <c r="J60" s="475">
        <v>5067</v>
      </c>
      <c r="K60" s="475">
        <v>7893721</v>
      </c>
      <c r="L60" s="475">
        <v>6190</v>
      </c>
      <c r="M60" s="475">
        <v>524574</v>
      </c>
      <c r="N60" s="475">
        <v>5622</v>
      </c>
      <c r="O60" s="475">
        <v>1181794</v>
      </c>
      <c r="P60" s="475">
        <v>870</v>
      </c>
      <c r="Q60" s="475">
        <v>69691</v>
      </c>
      <c r="R60" s="475">
        <v>1159</v>
      </c>
      <c r="S60" s="475">
        <v>520395</v>
      </c>
      <c r="T60" s="475">
        <v>449</v>
      </c>
      <c r="U60" s="475">
        <v>-51304</v>
      </c>
      <c r="V60" s="475">
        <v>4528</v>
      </c>
      <c r="W60" s="475">
        <v>4754602</v>
      </c>
      <c r="X60" s="475">
        <v>1314</v>
      </c>
      <c r="Y60" s="475">
        <v>-3549</v>
      </c>
      <c r="Z60" s="475">
        <v>1999</v>
      </c>
      <c r="AA60" s="475">
        <v>354149</v>
      </c>
      <c r="AB60" s="475">
        <v>765</v>
      </c>
      <c r="AC60" s="475">
        <v>-77851</v>
      </c>
      <c r="AD60" s="475">
        <v>4258</v>
      </c>
      <c r="AE60" s="475">
        <v>6231830</v>
      </c>
      <c r="AF60" s="475">
        <v>3805</v>
      </c>
      <c r="AG60" s="475">
        <v>1191383</v>
      </c>
      <c r="AH60" s="475">
        <v>430</v>
      </c>
      <c r="AI60" s="475">
        <v>238802</v>
      </c>
      <c r="AJ60" s="475">
        <v>142</v>
      </c>
      <c r="AK60" s="475">
        <v>12131</v>
      </c>
      <c r="AL60" s="475">
        <v>49</v>
      </c>
      <c r="AM60" s="475">
        <v>16972</v>
      </c>
      <c r="AN60" s="475">
        <v>111</v>
      </c>
      <c r="AO60" s="475">
        <v>-31469</v>
      </c>
      <c r="AP60" s="475">
        <v>3370</v>
      </c>
      <c r="AQ60" s="475">
        <v>496665</v>
      </c>
      <c r="AR60" s="475">
        <v>950</v>
      </c>
      <c r="AS60" s="475">
        <v>174485</v>
      </c>
      <c r="AT60" s="475">
        <v>6285</v>
      </c>
      <c r="AU60" s="475">
        <v>20742254</v>
      </c>
      <c r="AV60" s="475">
        <v>143</v>
      </c>
      <c r="AW60" s="475">
        <v>1548</v>
      </c>
      <c r="AX60" s="475" t="s">
        <v>714</v>
      </c>
      <c r="AY60" s="475">
        <v>1</v>
      </c>
      <c r="AZ60" s="475">
        <v>0</v>
      </c>
      <c r="BA60" s="475">
        <v>0</v>
      </c>
      <c r="BB60" s="475">
        <v>0</v>
      </c>
      <c r="BC60" s="475">
        <v>0</v>
      </c>
      <c r="BD60" s="475">
        <v>2226</v>
      </c>
      <c r="BE60" s="475">
        <v>35899</v>
      </c>
      <c r="BF60" s="475">
        <v>1507</v>
      </c>
      <c r="BG60" s="475">
        <v>30099</v>
      </c>
      <c r="BH60" s="475">
        <v>802</v>
      </c>
      <c r="BI60" s="475">
        <v>60520</v>
      </c>
      <c r="BJ60" s="475">
        <v>41</v>
      </c>
      <c r="BK60" s="475">
        <v>58</v>
      </c>
      <c r="BL60" s="475">
        <v>173</v>
      </c>
      <c r="BM60" s="475">
        <v>41969</v>
      </c>
      <c r="BN60" s="475">
        <v>0</v>
      </c>
      <c r="BO60" s="475">
        <v>0</v>
      </c>
      <c r="BP60" s="475">
        <v>3018</v>
      </c>
      <c r="BQ60" s="475">
        <v>174516</v>
      </c>
      <c r="BR60" s="475">
        <v>3954</v>
      </c>
      <c r="BS60" s="475">
        <v>414155</v>
      </c>
      <c r="BT60" s="475">
        <v>4993</v>
      </c>
      <c r="BU60" s="475">
        <v>1495571</v>
      </c>
      <c r="BV60" s="475">
        <v>34</v>
      </c>
      <c r="BW60" s="475">
        <v>2931</v>
      </c>
      <c r="BX60" s="475">
        <v>5297</v>
      </c>
      <c r="BY60" s="475">
        <v>2142558</v>
      </c>
      <c r="BZ60" s="475">
        <v>4961</v>
      </c>
      <c r="CA60" s="475">
        <v>202808</v>
      </c>
      <c r="CB60" s="475">
        <v>2760</v>
      </c>
      <c r="CC60" s="475">
        <v>3416</v>
      </c>
      <c r="CD60" s="475">
        <v>182</v>
      </c>
      <c r="CE60" s="475">
        <v>907</v>
      </c>
      <c r="CF60" s="475">
        <v>5307</v>
      </c>
      <c r="CG60" s="475">
        <v>2349689</v>
      </c>
      <c r="CH60" s="475">
        <v>3917</v>
      </c>
      <c r="CI60" s="475">
        <v>100453</v>
      </c>
      <c r="CJ60" s="475">
        <v>2729</v>
      </c>
      <c r="CK60" s="475">
        <v>158187</v>
      </c>
      <c r="CL60" s="475">
        <v>4671</v>
      </c>
      <c r="CM60" s="475">
        <v>258640</v>
      </c>
      <c r="CN60" s="475">
        <v>4912</v>
      </c>
      <c r="CO60" s="475">
        <v>330332</v>
      </c>
      <c r="CP60" s="475">
        <v>2520</v>
      </c>
      <c r="CQ60" s="475">
        <v>239208</v>
      </c>
      <c r="CR60" s="475">
        <v>145</v>
      </c>
      <c r="CS60" s="475">
        <v>51291</v>
      </c>
      <c r="CT60" s="475">
        <v>5009</v>
      </c>
      <c r="CU60" s="475">
        <v>620831</v>
      </c>
      <c r="CV60" s="475">
        <v>0</v>
      </c>
      <c r="CW60" s="475">
        <v>0</v>
      </c>
      <c r="CX60" s="475">
        <v>1675</v>
      </c>
      <c r="CY60" s="475">
        <v>279545</v>
      </c>
      <c r="CZ60" s="475">
        <v>5308</v>
      </c>
      <c r="DA60" s="475">
        <v>1075885</v>
      </c>
      <c r="DB60" s="475">
        <v>32</v>
      </c>
      <c r="DC60" s="475">
        <v>927</v>
      </c>
      <c r="DD60" s="475">
        <v>4995</v>
      </c>
      <c r="DE60" s="475">
        <v>879807</v>
      </c>
      <c r="DF60" s="475">
        <v>1291</v>
      </c>
      <c r="DG60" s="475">
        <v>10766</v>
      </c>
      <c r="DH60" s="475">
        <v>11262</v>
      </c>
      <c r="DI60" s="475">
        <v>1374</v>
      </c>
      <c r="DJ60" s="475">
        <v>6116</v>
      </c>
      <c r="DK60" s="475">
        <v>2312</v>
      </c>
      <c r="DL60" s="475">
        <v>2387</v>
      </c>
      <c r="DM60" s="475">
        <v>0</v>
      </c>
      <c r="DN60" s="475">
        <v>76</v>
      </c>
      <c r="DO60" s="475">
        <v>41</v>
      </c>
      <c r="DP60" s="475">
        <v>1816</v>
      </c>
      <c r="DQ60" s="475">
        <v>60158</v>
      </c>
      <c r="DR60" s="475">
        <v>2070</v>
      </c>
      <c r="DS60" s="475">
        <v>82566</v>
      </c>
      <c r="DT60" s="475">
        <v>0</v>
      </c>
      <c r="DU60" s="475">
        <v>0</v>
      </c>
      <c r="DV60" s="475">
        <v>0</v>
      </c>
      <c r="DW60" s="475">
        <v>0</v>
      </c>
      <c r="DX60" s="475">
        <v>17</v>
      </c>
      <c r="DY60" s="475">
        <v>1273</v>
      </c>
      <c r="DZ60" s="475">
        <v>6239</v>
      </c>
      <c r="EA60" s="475">
        <v>145150</v>
      </c>
      <c r="EB60" s="475">
        <v>84</v>
      </c>
      <c r="EC60" s="475">
        <v>667</v>
      </c>
      <c r="ED60" s="475">
        <v>4993</v>
      </c>
      <c r="EE60" s="475">
        <v>852437</v>
      </c>
      <c r="EF60" s="475">
        <v>5251</v>
      </c>
      <c r="EG60" s="475">
        <v>1756714</v>
      </c>
      <c r="EH60" s="475">
        <v>765</v>
      </c>
      <c r="EI60" s="475">
        <v>574</v>
      </c>
      <c r="EJ60" s="475" t="s">
        <v>714</v>
      </c>
      <c r="EK60" s="475">
        <v>1</v>
      </c>
      <c r="EL60" s="475">
        <v>3803</v>
      </c>
      <c r="EM60" s="475">
        <v>442186</v>
      </c>
      <c r="EN60" s="475">
        <v>2995</v>
      </c>
      <c r="EO60" s="475">
        <v>374232</v>
      </c>
      <c r="EP60" s="476">
        <v>0</v>
      </c>
      <c r="EQ60" s="476">
        <v>0</v>
      </c>
      <c r="ER60" s="476">
        <v>0</v>
      </c>
      <c r="ES60" s="476">
        <v>0</v>
      </c>
      <c r="ET60" s="476">
        <v>0</v>
      </c>
      <c r="EU60" s="476">
        <v>0</v>
      </c>
    </row>
    <row r="61" spans="1:151" ht="15.5">
      <c r="A61" s="474" t="s">
        <v>771</v>
      </c>
      <c r="B61" s="475">
        <v>3483</v>
      </c>
      <c r="C61" s="475">
        <v>3479</v>
      </c>
      <c r="D61" s="475">
        <v>14510953</v>
      </c>
      <c r="E61" s="475">
        <v>1007032</v>
      </c>
      <c r="F61" s="475">
        <v>15517985</v>
      </c>
      <c r="G61" s="475">
        <v>638009</v>
      </c>
      <c r="H61" s="475">
        <v>14881336</v>
      </c>
      <c r="I61" s="475">
        <v>1790359</v>
      </c>
      <c r="J61" s="475">
        <v>2825</v>
      </c>
      <c r="K61" s="475">
        <v>5352089</v>
      </c>
      <c r="L61" s="475">
        <v>3435</v>
      </c>
      <c r="M61" s="475">
        <v>393931</v>
      </c>
      <c r="N61" s="475">
        <v>3160</v>
      </c>
      <c r="O61" s="475">
        <v>899464</v>
      </c>
      <c r="P61" s="475">
        <v>465</v>
      </c>
      <c r="Q61" s="475">
        <v>33873</v>
      </c>
      <c r="R61" s="475">
        <v>592</v>
      </c>
      <c r="S61" s="475">
        <v>337870</v>
      </c>
      <c r="T61" s="475">
        <v>268</v>
      </c>
      <c r="U61" s="475">
        <v>-58112</v>
      </c>
      <c r="V61" s="475">
        <v>2578</v>
      </c>
      <c r="W61" s="475">
        <v>3498699</v>
      </c>
      <c r="X61" s="475">
        <v>674</v>
      </c>
      <c r="Y61" s="475">
        <v>-1877</v>
      </c>
      <c r="Z61" s="475">
        <v>1158</v>
      </c>
      <c r="AA61" s="475">
        <v>217043</v>
      </c>
      <c r="AB61" s="475">
        <v>438</v>
      </c>
      <c r="AC61" s="475">
        <v>-75044</v>
      </c>
      <c r="AD61" s="475">
        <v>2443</v>
      </c>
      <c r="AE61" s="475">
        <v>4571126</v>
      </c>
      <c r="AF61" s="475">
        <v>2211</v>
      </c>
      <c r="AG61" s="475">
        <v>882611</v>
      </c>
      <c r="AH61" s="475">
        <v>250</v>
      </c>
      <c r="AI61" s="475">
        <v>146185</v>
      </c>
      <c r="AJ61" s="475">
        <v>89</v>
      </c>
      <c r="AK61" s="475">
        <v>13165</v>
      </c>
      <c r="AL61" s="475">
        <v>27</v>
      </c>
      <c r="AM61" s="475">
        <v>8207</v>
      </c>
      <c r="AN61" s="475">
        <v>45</v>
      </c>
      <c r="AO61" s="475">
        <v>-16416</v>
      </c>
      <c r="AP61" s="475">
        <v>1965</v>
      </c>
      <c r="AQ61" s="475">
        <v>349218</v>
      </c>
      <c r="AR61" s="475">
        <v>589</v>
      </c>
      <c r="AS61" s="475">
        <v>151814</v>
      </c>
      <c r="AT61" s="475">
        <v>3481</v>
      </c>
      <c r="AU61" s="475">
        <v>14609993</v>
      </c>
      <c r="AV61" s="475">
        <v>72</v>
      </c>
      <c r="AW61" s="475">
        <v>804</v>
      </c>
      <c r="AX61" s="475">
        <v>0</v>
      </c>
      <c r="AY61" s="475">
        <v>0</v>
      </c>
      <c r="AZ61" s="475">
        <v>0</v>
      </c>
      <c r="BA61" s="475">
        <v>0</v>
      </c>
      <c r="BB61" s="475">
        <v>0</v>
      </c>
      <c r="BC61" s="475">
        <v>0</v>
      </c>
      <c r="BD61" s="475">
        <v>1226</v>
      </c>
      <c r="BE61" s="475">
        <v>23270</v>
      </c>
      <c r="BF61" s="475">
        <v>819</v>
      </c>
      <c r="BG61" s="475">
        <v>17573</v>
      </c>
      <c r="BH61" s="475">
        <v>442</v>
      </c>
      <c r="BI61" s="475">
        <v>36396</v>
      </c>
      <c r="BJ61" s="475">
        <v>17</v>
      </c>
      <c r="BK61" s="475">
        <v>129</v>
      </c>
      <c r="BL61" s="475">
        <v>106</v>
      </c>
      <c r="BM61" s="475">
        <v>27275</v>
      </c>
      <c r="BN61" s="475">
        <v>0</v>
      </c>
      <c r="BO61" s="475">
        <v>0</v>
      </c>
      <c r="BP61" s="475">
        <v>1675</v>
      </c>
      <c r="BQ61" s="475">
        <v>106798</v>
      </c>
      <c r="BR61" s="475">
        <v>2259</v>
      </c>
      <c r="BS61" s="475">
        <v>251211</v>
      </c>
      <c r="BT61" s="475">
        <v>2816</v>
      </c>
      <c r="BU61" s="475">
        <v>1258243</v>
      </c>
      <c r="BV61" s="475">
        <v>15</v>
      </c>
      <c r="BW61" s="475">
        <v>1928</v>
      </c>
      <c r="BX61" s="475">
        <v>2951</v>
      </c>
      <c r="BY61" s="475">
        <v>1568644</v>
      </c>
      <c r="BZ61" s="475">
        <v>2753</v>
      </c>
      <c r="CA61" s="475">
        <v>135978</v>
      </c>
      <c r="CB61" s="475">
        <v>1573</v>
      </c>
      <c r="CC61" s="475">
        <v>2248</v>
      </c>
      <c r="CD61" s="475">
        <v>112</v>
      </c>
      <c r="CE61" s="475">
        <v>1058</v>
      </c>
      <c r="CF61" s="475">
        <v>2959</v>
      </c>
      <c r="CG61" s="475">
        <v>1707928</v>
      </c>
      <c r="CH61" s="475">
        <v>2096</v>
      </c>
      <c r="CI61" s="475">
        <v>53767</v>
      </c>
      <c r="CJ61" s="475">
        <v>1624</v>
      </c>
      <c r="CK61" s="475">
        <v>135373</v>
      </c>
      <c r="CL61" s="475">
        <v>2576</v>
      </c>
      <c r="CM61" s="475">
        <v>189140</v>
      </c>
      <c r="CN61" s="475">
        <v>2758</v>
      </c>
      <c r="CO61" s="475">
        <v>209363</v>
      </c>
      <c r="CP61" s="475">
        <v>1444</v>
      </c>
      <c r="CQ61" s="475">
        <v>170006</v>
      </c>
      <c r="CR61" s="475">
        <v>78</v>
      </c>
      <c r="CS61" s="475">
        <v>49833</v>
      </c>
      <c r="CT61" s="475">
        <v>2816</v>
      </c>
      <c r="CU61" s="475">
        <v>429202</v>
      </c>
      <c r="CV61" s="475">
        <v>0</v>
      </c>
      <c r="CW61" s="475">
        <v>0</v>
      </c>
      <c r="CX61" s="475">
        <v>1022</v>
      </c>
      <c r="CY61" s="475">
        <v>200170</v>
      </c>
      <c r="CZ61" s="475">
        <v>2959</v>
      </c>
      <c r="DA61" s="475">
        <v>737895</v>
      </c>
      <c r="DB61" s="475" t="s">
        <v>714</v>
      </c>
      <c r="DC61" s="475">
        <v>50</v>
      </c>
      <c r="DD61" s="475">
        <v>2837</v>
      </c>
      <c r="DE61" s="475">
        <v>632656</v>
      </c>
      <c r="DF61" s="475">
        <v>646</v>
      </c>
      <c r="DG61" s="475">
        <v>5354</v>
      </c>
      <c r="DH61" s="475">
        <v>6232</v>
      </c>
      <c r="DI61" s="475">
        <v>760</v>
      </c>
      <c r="DJ61" s="475">
        <v>3361</v>
      </c>
      <c r="DK61" s="475">
        <v>1270</v>
      </c>
      <c r="DL61" s="475">
        <v>1242</v>
      </c>
      <c r="DM61" s="475">
        <v>0</v>
      </c>
      <c r="DN61" s="475">
        <v>42</v>
      </c>
      <c r="DO61" s="475">
        <v>25</v>
      </c>
      <c r="DP61" s="475">
        <v>1102</v>
      </c>
      <c r="DQ61" s="475">
        <v>45107</v>
      </c>
      <c r="DR61" s="475">
        <v>1267</v>
      </c>
      <c r="DS61" s="475">
        <v>60102</v>
      </c>
      <c r="DT61" s="475">
        <v>0</v>
      </c>
      <c r="DU61" s="475">
        <v>0</v>
      </c>
      <c r="DV61" s="475">
        <v>0</v>
      </c>
      <c r="DW61" s="475">
        <v>0</v>
      </c>
      <c r="DX61" s="475">
        <v>13</v>
      </c>
      <c r="DY61" s="475">
        <v>807</v>
      </c>
      <c r="DZ61" s="475">
        <v>3460</v>
      </c>
      <c r="EA61" s="475">
        <v>114137</v>
      </c>
      <c r="EB61" s="475">
        <v>46</v>
      </c>
      <c r="EC61" s="475">
        <v>438</v>
      </c>
      <c r="ED61" s="475">
        <v>2784</v>
      </c>
      <c r="EE61" s="475">
        <v>583357</v>
      </c>
      <c r="EF61" s="475">
        <v>3034</v>
      </c>
      <c r="EG61" s="475">
        <v>1380228</v>
      </c>
      <c r="EH61" s="475">
        <v>440</v>
      </c>
      <c r="EI61" s="475">
        <v>386</v>
      </c>
      <c r="EJ61" s="475">
        <v>0</v>
      </c>
      <c r="EK61" s="475">
        <v>0</v>
      </c>
      <c r="EL61" s="475">
        <v>2231</v>
      </c>
      <c r="EM61" s="475">
        <v>347428</v>
      </c>
      <c r="EN61" s="475">
        <v>1806</v>
      </c>
      <c r="EO61" s="475">
        <v>294057</v>
      </c>
      <c r="EP61" s="476">
        <v>0</v>
      </c>
      <c r="EQ61" s="476">
        <v>0</v>
      </c>
      <c r="ER61" s="476">
        <v>0</v>
      </c>
      <c r="ES61" s="476">
        <v>0</v>
      </c>
      <c r="ET61" s="476">
        <v>0</v>
      </c>
      <c r="EU61" s="476">
        <v>0</v>
      </c>
    </row>
    <row r="62" spans="1:151" ht="16" thickBot="1">
      <c r="A62" s="474" t="s">
        <v>772</v>
      </c>
      <c r="B62" s="475">
        <v>10344</v>
      </c>
      <c r="C62" s="475">
        <v>10335</v>
      </c>
      <c r="D62" s="475">
        <v>150335815</v>
      </c>
      <c r="E62" s="475">
        <v>11262758</v>
      </c>
      <c r="F62" s="475">
        <v>161584683</v>
      </c>
      <c r="G62" s="475">
        <v>11185999</v>
      </c>
      <c r="H62" s="475">
        <v>150430883</v>
      </c>
      <c r="I62" s="475">
        <v>19111258</v>
      </c>
      <c r="J62" s="475">
        <v>8262</v>
      </c>
      <c r="K62" s="475">
        <v>40230463</v>
      </c>
      <c r="L62" s="475">
        <v>10245</v>
      </c>
      <c r="M62" s="475">
        <v>5285608</v>
      </c>
      <c r="N62" s="475">
        <v>9637</v>
      </c>
      <c r="O62" s="475">
        <v>12472324</v>
      </c>
      <c r="P62" s="475">
        <v>1398</v>
      </c>
      <c r="Q62" s="475">
        <v>155003</v>
      </c>
      <c r="R62" s="475">
        <v>2035</v>
      </c>
      <c r="S62" s="475">
        <v>2136346</v>
      </c>
      <c r="T62" s="475">
        <v>864</v>
      </c>
      <c r="U62" s="475">
        <v>-500565</v>
      </c>
      <c r="V62" s="475">
        <v>8132</v>
      </c>
      <c r="W62" s="475">
        <v>64344470</v>
      </c>
      <c r="X62" s="475">
        <v>1795</v>
      </c>
      <c r="Y62" s="475">
        <v>-5050</v>
      </c>
      <c r="Z62" s="475">
        <v>3974</v>
      </c>
      <c r="AA62" s="475">
        <v>1218182</v>
      </c>
      <c r="AB62" s="475">
        <v>1445</v>
      </c>
      <c r="AC62" s="475">
        <v>-269163</v>
      </c>
      <c r="AD62" s="475">
        <v>7773</v>
      </c>
      <c r="AE62" s="475">
        <v>34090216</v>
      </c>
      <c r="AF62" s="475">
        <v>7439</v>
      </c>
      <c r="AG62" s="475">
        <v>10949942</v>
      </c>
      <c r="AH62" s="475">
        <v>902</v>
      </c>
      <c r="AI62" s="475">
        <v>954681</v>
      </c>
      <c r="AJ62" s="475">
        <v>384</v>
      </c>
      <c r="AK62" s="475">
        <v>137547</v>
      </c>
      <c r="AL62" s="475">
        <v>101</v>
      </c>
      <c r="AM62" s="475">
        <v>185828</v>
      </c>
      <c r="AN62" s="475">
        <v>225</v>
      </c>
      <c r="AO62" s="475">
        <v>-139171</v>
      </c>
      <c r="AP62" s="475">
        <v>6542</v>
      </c>
      <c r="AQ62" s="475">
        <v>2905312</v>
      </c>
      <c r="AR62" s="475">
        <v>1930</v>
      </c>
      <c r="AS62" s="475">
        <v>1637823</v>
      </c>
      <c r="AT62" s="475">
        <v>10338</v>
      </c>
      <c r="AU62" s="475">
        <v>150344755</v>
      </c>
      <c r="AV62" s="475">
        <v>165</v>
      </c>
      <c r="AW62" s="475">
        <v>1691</v>
      </c>
      <c r="AX62" s="475">
        <v>0</v>
      </c>
      <c r="AY62" s="475">
        <v>0</v>
      </c>
      <c r="AZ62" s="475">
        <v>0</v>
      </c>
      <c r="BA62" s="475">
        <v>0</v>
      </c>
      <c r="BB62" s="475">
        <v>0</v>
      </c>
      <c r="BC62" s="475">
        <v>0</v>
      </c>
      <c r="BD62" s="475">
        <v>4086</v>
      </c>
      <c r="BE62" s="475">
        <v>114377</v>
      </c>
      <c r="BF62" s="475">
        <v>2420</v>
      </c>
      <c r="BG62" s="475">
        <v>52209</v>
      </c>
      <c r="BH62" s="475">
        <v>1307</v>
      </c>
      <c r="BI62" s="475">
        <v>83190</v>
      </c>
      <c r="BJ62" s="475">
        <v>79</v>
      </c>
      <c r="BK62" s="475">
        <v>210</v>
      </c>
      <c r="BL62" s="475">
        <v>284</v>
      </c>
      <c r="BM62" s="475">
        <v>105879</v>
      </c>
      <c r="BN62" s="475">
        <v>0</v>
      </c>
      <c r="BO62" s="475">
        <v>0</v>
      </c>
      <c r="BP62" s="475">
        <v>5263</v>
      </c>
      <c r="BQ62" s="475">
        <v>365391</v>
      </c>
      <c r="BR62" s="475">
        <v>7584</v>
      </c>
      <c r="BS62" s="475">
        <v>3388399</v>
      </c>
      <c r="BT62" s="475">
        <v>8946</v>
      </c>
      <c r="BU62" s="475">
        <v>14651157</v>
      </c>
      <c r="BV62" s="475">
        <v>50</v>
      </c>
      <c r="BW62" s="475">
        <v>9284</v>
      </c>
      <c r="BX62" s="475">
        <v>9180</v>
      </c>
      <c r="BY62" s="475">
        <v>16888114</v>
      </c>
      <c r="BZ62" s="475">
        <v>8611</v>
      </c>
      <c r="CA62" s="475">
        <v>733904</v>
      </c>
      <c r="CB62" s="475">
        <v>4674</v>
      </c>
      <c r="CC62" s="475">
        <v>11339</v>
      </c>
      <c r="CD62" s="475">
        <v>257</v>
      </c>
      <c r="CE62" s="475">
        <v>8513</v>
      </c>
      <c r="CF62" s="475">
        <v>9231</v>
      </c>
      <c r="CG62" s="475">
        <v>17641870</v>
      </c>
      <c r="CH62" s="475">
        <v>5645</v>
      </c>
      <c r="CI62" s="475">
        <v>146923</v>
      </c>
      <c r="CJ62" s="475">
        <v>5917</v>
      </c>
      <c r="CK62" s="475">
        <v>1949133</v>
      </c>
      <c r="CL62" s="475">
        <v>8086</v>
      </c>
      <c r="CM62" s="475">
        <v>2096055</v>
      </c>
      <c r="CN62" s="475">
        <v>8708</v>
      </c>
      <c r="CO62" s="475">
        <v>3743258</v>
      </c>
      <c r="CP62" s="475">
        <v>4754</v>
      </c>
      <c r="CQ62" s="475">
        <v>5493016</v>
      </c>
      <c r="CR62" s="475">
        <v>435</v>
      </c>
      <c r="CS62" s="475">
        <v>954534</v>
      </c>
      <c r="CT62" s="475">
        <v>8857</v>
      </c>
      <c r="CU62" s="475">
        <v>10190808</v>
      </c>
      <c r="CV62" s="475">
        <v>0</v>
      </c>
      <c r="CW62" s="475">
        <v>0</v>
      </c>
      <c r="CX62" s="475">
        <v>3653</v>
      </c>
      <c r="CY62" s="475">
        <v>2039507</v>
      </c>
      <c r="CZ62" s="475">
        <v>9231</v>
      </c>
      <c r="DA62" s="475">
        <v>13215456</v>
      </c>
      <c r="DB62" s="475">
        <v>76</v>
      </c>
      <c r="DC62" s="475">
        <v>-1177</v>
      </c>
      <c r="DD62" s="475">
        <v>9102</v>
      </c>
      <c r="DE62" s="475">
        <v>11175815</v>
      </c>
      <c r="DF62" s="475">
        <v>1242</v>
      </c>
      <c r="DG62" s="475">
        <v>10183</v>
      </c>
      <c r="DH62" s="475">
        <v>18403</v>
      </c>
      <c r="DI62" s="475">
        <v>2245</v>
      </c>
      <c r="DJ62" s="475">
        <v>10416</v>
      </c>
      <c r="DK62" s="475">
        <v>3937</v>
      </c>
      <c r="DL62" s="475">
        <v>3924</v>
      </c>
      <c r="DM62" s="475">
        <v>1</v>
      </c>
      <c r="DN62" s="475">
        <v>120</v>
      </c>
      <c r="DO62" s="475">
        <v>54</v>
      </c>
      <c r="DP62" s="475">
        <v>3965</v>
      </c>
      <c r="DQ62" s="475">
        <v>423259</v>
      </c>
      <c r="DR62" s="475">
        <v>4379</v>
      </c>
      <c r="DS62" s="475">
        <v>531814</v>
      </c>
      <c r="DT62" s="475">
        <v>0</v>
      </c>
      <c r="DU62" s="475">
        <v>0</v>
      </c>
      <c r="DV62" s="475">
        <v>0</v>
      </c>
      <c r="DW62" s="475">
        <v>0</v>
      </c>
      <c r="DX62" s="475">
        <v>29</v>
      </c>
      <c r="DY62" s="475">
        <v>6773</v>
      </c>
      <c r="DZ62" s="475">
        <v>10292</v>
      </c>
      <c r="EA62" s="475">
        <v>1401139</v>
      </c>
      <c r="EB62" s="475">
        <v>198</v>
      </c>
      <c r="EC62" s="475">
        <v>7023</v>
      </c>
      <c r="ED62" s="475">
        <v>8107</v>
      </c>
      <c r="EE62" s="475">
        <v>4541243</v>
      </c>
      <c r="EF62" s="475">
        <v>9494</v>
      </c>
      <c r="EG62" s="475">
        <v>18256202</v>
      </c>
      <c r="EH62" s="475">
        <v>1255</v>
      </c>
      <c r="EI62" s="475">
        <v>1078</v>
      </c>
      <c r="EJ62" s="475">
        <v>0</v>
      </c>
      <c r="EK62" s="475">
        <v>0</v>
      </c>
      <c r="EL62" s="475">
        <v>7419</v>
      </c>
      <c r="EM62" s="475">
        <v>4568685</v>
      </c>
      <c r="EN62" s="475">
        <v>6403</v>
      </c>
      <c r="EO62" s="475">
        <v>4099878</v>
      </c>
      <c r="EP62" s="476">
        <v>0</v>
      </c>
      <c r="EQ62" s="476">
        <v>0</v>
      </c>
      <c r="ER62" s="476">
        <v>0</v>
      </c>
      <c r="ES62" s="476">
        <v>0</v>
      </c>
      <c r="ET62" s="476">
        <v>0</v>
      </c>
      <c r="EU62" s="476">
        <v>0</v>
      </c>
    </row>
    <row r="63" spans="1:151" ht="16" thickBot="1">
      <c r="A63" s="477" t="s">
        <v>773</v>
      </c>
      <c r="B63" s="478">
        <v>17530141</v>
      </c>
      <c r="C63" s="478">
        <v>11332757</v>
      </c>
      <c r="D63" s="478">
        <v>1613933189</v>
      </c>
      <c r="E63" s="478">
        <v>-11974737</v>
      </c>
      <c r="F63" s="478">
        <v>1601937312</v>
      </c>
      <c r="G63" s="478">
        <v>238697961</v>
      </c>
      <c r="H63" s="478">
        <v>1412083371</v>
      </c>
      <c r="I63" s="478">
        <v>90071409</v>
      </c>
      <c r="J63" s="478">
        <v>14523553</v>
      </c>
      <c r="K63" s="478">
        <v>1119003798</v>
      </c>
      <c r="L63" s="478">
        <v>6296452</v>
      </c>
      <c r="M63" s="478">
        <v>20492191</v>
      </c>
      <c r="N63" s="478">
        <v>3226228</v>
      </c>
      <c r="O63" s="478">
        <v>45563062</v>
      </c>
      <c r="P63" s="478">
        <v>2530299</v>
      </c>
      <c r="Q63" s="478">
        <v>86111622</v>
      </c>
      <c r="R63" s="478">
        <v>2502535</v>
      </c>
      <c r="S63" s="478">
        <v>64449540</v>
      </c>
      <c r="T63" s="478">
        <v>785439</v>
      </c>
      <c r="U63" s="478">
        <v>-9277864</v>
      </c>
      <c r="V63" s="478">
        <v>2014742</v>
      </c>
      <c r="W63" s="478">
        <v>139339304</v>
      </c>
      <c r="X63" s="478">
        <v>1103896</v>
      </c>
      <c r="Y63" s="478">
        <v>-2427602</v>
      </c>
      <c r="Z63" s="478">
        <v>813998</v>
      </c>
      <c r="AA63" s="478">
        <v>20261338</v>
      </c>
      <c r="AB63" s="478">
        <v>481692</v>
      </c>
      <c r="AC63" s="478">
        <v>-8350448</v>
      </c>
      <c r="AD63" s="478">
        <v>839445</v>
      </c>
      <c r="AE63" s="478">
        <v>143972274</v>
      </c>
      <c r="AF63" s="478">
        <v>603925</v>
      </c>
      <c r="AG63" s="478">
        <v>43452039</v>
      </c>
      <c r="AH63" s="478">
        <v>88682</v>
      </c>
      <c r="AI63" s="478">
        <v>5503731</v>
      </c>
      <c r="AJ63" s="478">
        <v>11254</v>
      </c>
      <c r="AK63" s="478">
        <v>615904</v>
      </c>
      <c r="AL63" s="478">
        <v>14385</v>
      </c>
      <c r="AM63" s="478">
        <v>828506</v>
      </c>
      <c r="AN63" s="478">
        <v>40200</v>
      </c>
      <c r="AO63" s="478">
        <v>-2006588</v>
      </c>
      <c r="AP63" s="478">
        <v>4792786</v>
      </c>
      <c r="AQ63" s="478">
        <v>92150939</v>
      </c>
      <c r="AR63" s="478">
        <v>393443</v>
      </c>
      <c r="AS63" s="478">
        <v>37487103</v>
      </c>
      <c r="AT63" s="478">
        <v>17507106</v>
      </c>
      <c r="AU63" s="478">
        <v>1633654802</v>
      </c>
      <c r="AV63" s="478">
        <v>312397</v>
      </c>
      <c r="AW63" s="478">
        <v>1854416</v>
      </c>
      <c r="AX63" s="478">
        <v>1063772</v>
      </c>
      <c r="AY63" s="478">
        <v>1105700</v>
      </c>
      <c r="AZ63" s="478">
        <v>146618</v>
      </c>
      <c r="BA63" s="478">
        <v>305836</v>
      </c>
      <c r="BB63" s="478">
        <v>2810</v>
      </c>
      <c r="BC63" s="478">
        <v>6299</v>
      </c>
      <c r="BD63" s="478">
        <v>2536361</v>
      </c>
      <c r="BE63" s="478">
        <v>4636479</v>
      </c>
      <c r="BF63" s="478">
        <v>543811</v>
      </c>
      <c r="BG63" s="478">
        <v>4596117</v>
      </c>
      <c r="BH63" s="478">
        <v>154796</v>
      </c>
      <c r="BI63" s="478">
        <v>4529480</v>
      </c>
      <c r="BJ63" s="478">
        <v>51585</v>
      </c>
      <c r="BK63" s="478">
        <v>34110</v>
      </c>
      <c r="BL63" s="478">
        <v>72599</v>
      </c>
      <c r="BM63" s="478">
        <v>2131838</v>
      </c>
      <c r="BN63" s="478">
        <v>0</v>
      </c>
      <c r="BO63" s="478">
        <v>0</v>
      </c>
      <c r="BP63" s="478">
        <v>4284399</v>
      </c>
      <c r="BQ63" s="478">
        <v>20261855</v>
      </c>
      <c r="BR63" s="478">
        <v>4374478</v>
      </c>
      <c r="BS63" s="478">
        <v>85441706</v>
      </c>
      <c r="BT63" s="478">
        <v>2393688</v>
      </c>
      <c r="BU63" s="478">
        <v>73468495</v>
      </c>
      <c r="BV63" s="478">
        <v>630213</v>
      </c>
      <c r="BW63" s="478">
        <v>13525190</v>
      </c>
      <c r="BX63" s="478">
        <v>3081561</v>
      </c>
      <c r="BY63" s="478">
        <v>66821878</v>
      </c>
      <c r="BZ63" s="478">
        <v>2809816</v>
      </c>
      <c r="CA63" s="478">
        <v>24552961</v>
      </c>
      <c r="CB63" s="478">
        <v>2114724</v>
      </c>
      <c r="CC63" s="478">
        <v>1349416</v>
      </c>
      <c r="CD63" s="478">
        <v>262842</v>
      </c>
      <c r="CE63" s="478">
        <v>357304</v>
      </c>
      <c r="CF63" s="478">
        <v>3105104</v>
      </c>
      <c r="CG63" s="478">
        <v>93081558</v>
      </c>
      <c r="CH63" s="478">
        <v>2679877</v>
      </c>
      <c r="CI63" s="478">
        <v>46154492</v>
      </c>
      <c r="CJ63" s="478">
        <v>461894</v>
      </c>
      <c r="CK63" s="478">
        <v>4612473</v>
      </c>
      <c r="CL63" s="478">
        <v>2720841</v>
      </c>
      <c r="CM63" s="478">
        <v>50766966</v>
      </c>
      <c r="CN63" s="478">
        <v>2331256</v>
      </c>
      <c r="CO63" s="478">
        <v>17552780</v>
      </c>
      <c r="CP63" s="478">
        <v>1761369</v>
      </c>
      <c r="CQ63" s="478">
        <v>10070264</v>
      </c>
      <c r="CR63" s="478">
        <v>31355</v>
      </c>
      <c r="CS63" s="478">
        <v>1700052</v>
      </c>
      <c r="CT63" s="478">
        <v>2583136</v>
      </c>
      <c r="CU63" s="478">
        <v>29322135</v>
      </c>
      <c r="CV63" s="478">
        <v>222</v>
      </c>
      <c r="CW63" s="478">
        <v>14411</v>
      </c>
      <c r="CX63" s="478">
        <v>1459566</v>
      </c>
      <c r="CY63" s="478">
        <v>19232373</v>
      </c>
      <c r="CZ63" s="478">
        <v>3109740</v>
      </c>
      <c r="DA63" s="478">
        <v>126005848</v>
      </c>
      <c r="DB63" s="478">
        <v>10460</v>
      </c>
      <c r="DC63" s="478">
        <v>20842</v>
      </c>
      <c r="DD63" s="478">
        <v>5305383</v>
      </c>
      <c r="DE63" s="478">
        <v>161475937</v>
      </c>
      <c r="DF63" s="478">
        <v>12221771</v>
      </c>
      <c r="DG63" s="478">
        <v>77222024</v>
      </c>
      <c r="DH63" s="478">
        <v>22737895</v>
      </c>
      <c r="DI63" s="478">
        <v>2774023</v>
      </c>
      <c r="DJ63" s="478">
        <v>11089701</v>
      </c>
      <c r="DK63" s="478">
        <v>4191907</v>
      </c>
      <c r="DL63" s="478">
        <v>3747373</v>
      </c>
      <c r="DM63" s="478">
        <v>3335</v>
      </c>
      <c r="DN63" s="478">
        <v>16293744</v>
      </c>
      <c r="DO63" s="478">
        <v>7174229</v>
      </c>
      <c r="DP63" s="478">
        <v>154890</v>
      </c>
      <c r="DQ63" s="478">
        <v>1073664</v>
      </c>
      <c r="DR63" s="478">
        <v>2261382</v>
      </c>
      <c r="DS63" s="478">
        <v>1592622</v>
      </c>
      <c r="DT63" s="478">
        <v>1976150</v>
      </c>
      <c r="DU63" s="478">
        <v>142192</v>
      </c>
      <c r="DV63" s="478">
        <v>219</v>
      </c>
      <c r="DW63" s="478">
        <v>21</v>
      </c>
      <c r="DX63" s="478">
        <v>17612</v>
      </c>
      <c r="DY63" s="478">
        <v>109282</v>
      </c>
      <c r="DZ63" s="478">
        <v>89981</v>
      </c>
      <c r="EA63" s="478">
        <v>2046748</v>
      </c>
      <c r="EB63" s="478">
        <v>404146</v>
      </c>
      <c r="EC63" s="478">
        <v>140669</v>
      </c>
      <c r="ED63" s="478">
        <v>14342340</v>
      </c>
      <c r="EE63" s="478">
        <v>65209048</v>
      </c>
      <c r="EF63" s="478">
        <v>1028635</v>
      </c>
      <c r="EG63" s="478">
        <v>37548715</v>
      </c>
      <c r="EH63" s="478">
        <v>257664</v>
      </c>
      <c r="EI63" s="478">
        <v>99375</v>
      </c>
      <c r="EJ63" s="478">
        <v>142655</v>
      </c>
      <c r="EK63" s="478">
        <v>26555</v>
      </c>
      <c r="EL63" s="478">
        <v>13258849</v>
      </c>
      <c r="EM63" s="478">
        <v>23177490</v>
      </c>
      <c r="EN63" s="478">
        <v>433949</v>
      </c>
      <c r="EO63" s="478">
        <v>8270556</v>
      </c>
      <c r="EP63" s="479">
        <v>0</v>
      </c>
      <c r="EQ63" s="479">
        <v>0</v>
      </c>
      <c r="ER63" s="479">
        <v>0</v>
      </c>
      <c r="ES63" s="479">
        <v>0</v>
      </c>
      <c r="ET63" s="479">
        <v>0</v>
      </c>
      <c r="EU63" s="479">
        <v>0</v>
      </c>
    </row>
    <row r="64" spans="1:151">
      <c r="J64" s="480" t="e">
        <f>#REF!*49000</f>
        <v>#REF!</v>
      </c>
      <c r="K64" s="481">
        <f>((K53+K54)*0.005)+((K55+K56)*0.01)+(K57*0.015)+(K58*0.0175)+((K59+K60+K61+K62)*0.025)</f>
        <v>5982530.8899999997</v>
      </c>
    </row>
    <row r="65" spans="11:12">
      <c r="K65" s="480">
        <f>K64*1.05^4</f>
        <v>7271803.6876130626</v>
      </c>
    </row>
    <row r="66" spans="11:12">
      <c r="K66" s="482"/>
    </row>
    <row r="67" spans="11:12">
      <c r="K67" s="483" t="e">
        <f>#REF!/K63</f>
        <v>#REF!</v>
      </c>
      <c r="L67" s="471" t="s">
        <v>774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1A9F-1F82-47E5-94BE-4CB3FC76A3D3}">
  <dimension ref="A1:O38"/>
  <sheetViews>
    <sheetView workbookViewId="0">
      <selection activeCell="D7" sqref="D7"/>
    </sheetView>
  </sheetViews>
  <sheetFormatPr defaultColWidth="9.81640625" defaultRowHeight="14"/>
  <cols>
    <col min="1" max="15" width="21" style="485" customWidth="1"/>
    <col min="16" max="16384" width="9.81640625" style="413"/>
  </cols>
  <sheetData>
    <row r="1" spans="1:15" ht="80.150000000000006" customHeight="1">
      <c r="A1" s="484" t="s">
        <v>775</v>
      </c>
      <c r="B1" s="484" t="s">
        <v>776</v>
      </c>
      <c r="C1" s="484" t="s">
        <v>777</v>
      </c>
      <c r="D1" s="484" t="s">
        <v>778</v>
      </c>
      <c r="E1" s="484" t="s">
        <v>779</v>
      </c>
      <c r="F1" s="484" t="s">
        <v>780</v>
      </c>
      <c r="G1" s="484" t="s">
        <v>781</v>
      </c>
      <c r="H1" s="484" t="s">
        <v>782</v>
      </c>
      <c r="I1" s="484" t="s">
        <v>783</v>
      </c>
      <c r="J1" s="484" t="s">
        <v>784</v>
      </c>
      <c r="K1" s="484" t="s">
        <v>785</v>
      </c>
      <c r="L1" s="484" t="s">
        <v>786</v>
      </c>
      <c r="M1" s="484" t="s">
        <v>787</v>
      </c>
      <c r="N1" s="484" t="s">
        <v>788</v>
      </c>
      <c r="O1" s="484" t="s">
        <v>789</v>
      </c>
    </row>
    <row r="2" spans="1:15" ht="28">
      <c r="A2" s="485" t="s">
        <v>790</v>
      </c>
      <c r="B2" s="485" t="s">
        <v>791</v>
      </c>
      <c r="C2" s="485" t="s">
        <v>792</v>
      </c>
      <c r="D2" s="485" t="s">
        <v>793</v>
      </c>
      <c r="E2" s="485" t="s">
        <v>793</v>
      </c>
      <c r="F2" s="485" t="s">
        <v>794</v>
      </c>
      <c r="G2" s="485" t="s">
        <v>795</v>
      </c>
      <c r="H2" s="485" t="s">
        <v>796</v>
      </c>
      <c r="I2" s="485" t="s">
        <v>797</v>
      </c>
      <c r="J2" s="485" t="s">
        <v>798</v>
      </c>
      <c r="K2" s="485" t="s">
        <v>799</v>
      </c>
      <c r="L2" s="485" t="s">
        <v>800</v>
      </c>
      <c r="M2" s="485" t="s">
        <v>801</v>
      </c>
      <c r="N2" s="485" t="s">
        <v>801</v>
      </c>
      <c r="O2" s="485" t="s">
        <v>801</v>
      </c>
    </row>
    <row r="3" spans="1:15">
      <c r="A3" s="485" t="s">
        <v>790</v>
      </c>
      <c r="B3" s="485" t="s">
        <v>802</v>
      </c>
      <c r="C3" s="485" t="s">
        <v>803</v>
      </c>
      <c r="D3" s="485" t="s">
        <v>793</v>
      </c>
      <c r="E3" s="485" t="s">
        <v>793</v>
      </c>
      <c r="F3" s="485" t="s">
        <v>794</v>
      </c>
      <c r="G3" s="485" t="s">
        <v>804</v>
      </c>
      <c r="H3" s="485" t="s">
        <v>805</v>
      </c>
      <c r="I3" s="485" t="s">
        <v>806</v>
      </c>
      <c r="J3" s="485" t="s">
        <v>807</v>
      </c>
      <c r="K3" s="485" t="s">
        <v>808</v>
      </c>
      <c r="L3" s="485" t="s">
        <v>809</v>
      </c>
      <c r="M3" s="485" t="s">
        <v>806</v>
      </c>
      <c r="N3" s="485" t="s">
        <v>810</v>
      </c>
      <c r="O3" s="485" t="s">
        <v>810</v>
      </c>
    </row>
    <row r="4" spans="1:15">
      <c r="A4" s="485" t="s">
        <v>790</v>
      </c>
      <c r="B4" s="485" t="s">
        <v>811</v>
      </c>
      <c r="C4" s="485" t="s">
        <v>812</v>
      </c>
      <c r="D4" s="485" t="s">
        <v>793</v>
      </c>
      <c r="E4" s="485" t="s">
        <v>793</v>
      </c>
      <c r="F4" s="485" t="s">
        <v>794</v>
      </c>
      <c r="G4" s="485" t="s">
        <v>813</v>
      </c>
      <c r="H4" s="485" t="s">
        <v>814</v>
      </c>
      <c r="I4" s="485" t="s">
        <v>815</v>
      </c>
      <c r="J4" s="485" t="s">
        <v>816</v>
      </c>
      <c r="K4" s="485" t="s">
        <v>817</v>
      </c>
      <c r="L4" s="485" t="s">
        <v>818</v>
      </c>
      <c r="M4" s="485" t="s">
        <v>819</v>
      </c>
      <c r="N4" s="485" t="s">
        <v>801</v>
      </c>
      <c r="O4" s="485" t="s">
        <v>801</v>
      </c>
    </row>
    <row r="5" spans="1:15">
      <c r="A5" s="485" t="s">
        <v>790</v>
      </c>
      <c r="B5" s="485" t="s">
        <v>820</v>
      </c>
      <c r="C5" s="485" t="s">
        <v>821</v>
      </c>
      <c r="D5" s="485" t="s">
        <v>793</v>
      </c>
      <c r="E5" s="485" t="s">
        <v>793</v>
      </c>
      <c r="F5" s="485" t="s">
        <v>794</v>
      </c>
      <c r="G5" s="485" t="s">
        <v>822</v>
      </c>
      <c r="H5" s="485" t="s">
        <v>823</v>
      </c>
      <c r="I5" s="485" t="s">
        <v>824</v>
      </c>
      <c r="J5" s="485" t="s">
        <v>825</v>
      </c>
      <c r="K5" s="485" t="s">
        <v>826</v>
      </c>
      <c r="L5" s="485" t="s">
        <v>827</v>
      </c>
      <c r="M5" s="485" t="s">
        <v>828</v>
      </c>
      <c r="N5" s="485" t="s">
        <v>828</v>
      </c>
      <c r="O5" s="485" t="s">
        <v>828</v>
      </c>
    </row>
    <row r="6" spans="1:15">
      <c r="A6" s="485" t="s">
        <v>790</v>
      </c>
      <c r="B6" s="485" t="s">
        <v>829</v>
      </c>
      <c r="C6" s="485" t="s">
        <v>830</v>
      </c>
      <c r="D6" s="485" t="s">
        <v>793</v>
      </c>
      <c r="E6" s="485" t="s">
        <v>793</v>
      </c>
      <c r="F6" s="485" t="s">
        <v>794</v>
      </c>
      <c r="G6" s="485" t="s">
        <v>831</v>
      </c>
      <c r="H6" s="485" t="s">
        <v>832</v>
      </c>
      <c r="I6" s="485" t="s">
        <v>833</v>
      </c>
      <c r="J6" s="485" t="s">
        <v>834</v>
      </c>
      <c r="K6" s="485" t="s">
        <v>835</v>
      </c>
      <c r="L6" s="485" t="s">
        <v>836</v>
      </c>
      <c r="M6" s="485" t="s">
        <v>801</v>
      </c>
      <c r="N6" s="485" t="s">
        <v>828</v>
      </c>
      <c r="O6" s="485" t="s">
        <v>819</v>
      </c>
    </row>
    <row r="7" spans="1:15" ht="56">
      <c r="A7" s="485" t="s">
        <v>790</v>
      </c>
      <c r="B7" s="485" t="s">
        <v>829</v>
      </c>
      <c r="C7" s="485" t="s">
        <v>830</v>
      </c>
      <c r="D7" s="485" t="s">
        <v>837</v>
      </c>
      <c r="E7" s="485" t="s">
        <v>793</v>
      </c>
      <c r="F7" s="485" t="s">
        <v>794</v>
      </c>
      <c r="G7" s="485" t="s">
        <v>838</v>
      </c>
      <c r="H7" s="485" t="s">
        <v>839</v>
      </c>
      <c r="I7" s="485" t="s">
        <v>840</v>
      </c>
      <c r="J7" s="485" t="s">
        <v>841</v>
      </c>
      <c r="K7" s="485" t="s">
        <v>842</v>
      </c>
      <c r="L7" s="485" t="s">
        <v>843</v>
      </c>
      <c r="M7" s="485" t="s">
        <v>801</v>
      </c>
      <c r="N7" s="485" t="s">
        <v>828</v>
      </c>
      <c r="O7" s="485" t="s">
        <v>819</v>
      </c>
    </row>
    <row r="8" spans="1:15" ht="28">
      <c r="A8" s="485" t="s">
        <v>790</v>
      </c>
      <c r="B8" s="485" t="s">
        <v>829</v>
      </c>
      <c r="C8" s="485" t="s">
        <v>830</v>
      </c>
      <c r="D8" s="485" t="s">
        <v>844</v>
      </c>
      <c r="E8" s="485" t="s">
        <v>793</v>
      </c>
      <c r="F8" s="485" t="s">
        <v>794</v>
      </c>
      <c r="G8" s="485" t="s">
        <v>845</v>
      </c>
      <c r="H8" s="485" t="s">
        <v>846</v>
      </c>
      <c r="I8" s="485" t="s">
        <v>847</v>
      </c>
      <c r="J8" s="485" t="s">
        <v>848</v>
      </c>
      <c r="K8" s="485" t="s">
        <v>849</v>
      </c>
      <c r="L8" s="485" t="s">
        <v>850</v>
      </c>
      <c r="M8" s="485" t="s">
        <v>801</v>
      </c>
      <c r="N8" s="485" t="s">
        <v>851</v>
      </c>
      <c r="O8" s="485" t="s">
        <v>851</v>
      </c>
    </row>
    <row r="9" spans="1:15">
      <c r="A9" s="485" t="s">
        <v>790</v>
      </c>
      <c r="B9" s="485" t="s">
        <v>852</v>
      </c>
      <c r="C9" s="485" t="s">
        <v>853</v>
      </c>
      <c r="D9" s="485" t="s">
        <v>793</v>
      </c>
      <c r="E9" s="485" t="s">
        <v>793</v>
      </c>
      <c r="F9" s="485" t="s">
        <v>794</v>
      </c>
      <c r="G9" s="485" t="s">
        <v>854</v>
      </c>
      <c r="H9" s="485" t="s">
        <v>855</v>
      </c>
      <c r="I9" s="485" t="s">
        <v>856</v>
      </c>
      <c r="J9" s="485" t="s">
        <v>857</v>
      </c>
      <c r="K9" s="485" t="s">
        <v>858</v>
      </c>
      <c r="L9" s="485" t="s">
        <v>859</v>
      </c>
      <c r="M9" s="485" t="s">
        <v>801</v>
      </c>
      <c r="N9" s="485" t="s">
        <v>801</v>
      </c>
      <c r="O9" s="485" t="s">
        <v>819</v>
      </c>
    </row>
    <row r="10" spans="1:15" ht="28">
      <c r="A10" s="485" t="s">
        <v>790</v>
      </c>
      <c r="B10" s="485" t="s">
        <v>860</v>
      </c>
      <c r="C10" s="485" t="s">
        <v>861</v>
      </c>
      <c r="D10" s="485" t="s">
        <v>793</v>
      </c>
      <c r="E10" s="485" t="s">
        <v>793</v>
      </c>
      <c r="F10" s="485" t="s">
        <v>794</v>
      </c>
      <c r="G10" s="485" t="s">
        <v>862</v>
      </c>
      <c r="H10" s="485" t="s">
        <v>863</v>
      </c>
      <c r="I10" s="485" t="s">
        <v>864</v>
      </c>
      <c r="J10" s="485" t="s">
        <v>865</v>
      </c>
      <c r="K10" s="485" t="s">
        <v>866</v>
      </c>
      <c r="L10" s="485" t="s">
        <v>867</v>
      </c>
      <c r="M10" s="485" t="s">
        <v>819</v>
      </c>
      <c r="N10" s="485" t="s">
        <v>819</v>
      </c>
      <c r="O10" s="485" t="s">
        <v>819</v>
      </c>
    </row>
    <row r="11" spans="1:15">
      <c r="A11" s="485" t="s">
        <v>790</v>
      </c>
      <c r="B11" s="485" t="s">
        <v>868</v>
      </c>
      <c r="C11" s="485" t="s">
        <v>869</v>
      </c>
      <c r="D11" s="485" t="s">
        <v>793</v>
      </c>
      <c r="E11" s="485" t="s">
        <v>793</v>
      </c>
      <c r="F11" s="485" t="s">
        <v>794</v>
      </c>
      <c r="G11" s="485" t="s">
        <v>870</v>
      </c>
      <c r="H11" s="485" t="s">
        <v>871</v>
      </c>
      <c r="I11" s="485" t="s">
        <v>872</v>
      </c>
      <c r="J11" s="485" t="s">
        <v>873</v>
      </c>
      <c r="K11" s="485" t="s">
        <v>874</v>
      </c>
      <c r="L11" s="485" t="s">
        <v>875</v>
      </c>
      <c r="M11" s="485" t="s">
        <v>872</v>
      </c>
      <c r="N11" s="485" t="s">
        <v>801</v>
      </c>
      <c r="O11" s="485" t="s">
        <v>819</v>
      </c>
    </row>
    <row r="12" spans="1:15">
      <c r="A12" s="485" t="s">
        <v>790</v>
      </c>
      <c r="B12" s="485" t="s">
        <v>876</v>
      </c>
      <c r="C12" s="485" t="s">
        <v>877</v>
      </c>
      <c r="D12" s="485" t="s">
        <v>793</v>
      </c>
      <c r="E12" s="485" t="s">
        <v>793</v>
      </c>
      <c r="F12" s="485" t="s">
        <v>794</v>
      </c>
      <c r="G12" s="485" t="s">
        <v>878</v>
      </c>
      <c r="H12" s="485" t="s">
        <v>879</v>
      </c>
      <c r="I12" s="485" t="s">
        <v>872</v>
      </c>
      <c r="J12" s="485" t="s">
        <v>880</v>
      </c>
      <c r="K12" s="485" t="s">
        <v>881</v>
      </c>
      <c r="L12" s="485" t="s">
        <v>882</v>
      </c>
      <c r="M12" s="485" t="s">
        <v>872</v>
      </c>
      <c r="N12" s="485" t="s">
        <v>819</v>
      </c>
      <c r="O12" s="485" t="s">
        <v>819</v>
      </c>
    </row>
    <row r="13" spans="1:15" ht="28">
      <c r="A13" s="485" t="s">
        <v>790</v>
      </c>
      <c r="B13" s="485" t="s">
        <v>883</v>
      </c>
      <c r="C13" s="485" t="s">
        <v>884</v>
      </c>
      <c r="D13" s="485" t="s">
        <v>793</v>
      </c>
      <c r="E13" s="485" t="s">
        <v>793</v>
      </c>
      <c r="F13" s="485" t="s">
        <v>794</v>
      </c>
      <c r="G13" s="485" t="s">
        <v>885</v>
      </c>
      <c r="H13" s="485" t="s">
        <v>886</v>
      </c>
      <c r="I13" s="485" t="s">
        <v>887</v>
      </c>
      <c r="J13" s="485" t="s">
        <v>888</v>
      </c>
      <c r="K13" s="485" t="s">
        <v>889</v>
      </c>
      <c r="L13" s="485" t="s">
        <v>890</v>
      </c>
      <c r="M13" s="485" t="s">
        <v>819</v>
      </c>
      <c r="N13" s="485" t="s">
        <v>801</v>
      </c>
      <c r="O13" s="485" t="s">
        <v>819</v>
      </c>
    </row>
    <row r="14" spans="1:15" ht="42">
      <c r="A14" s="485" t="s">
        <v>790</v>
      </c>
      <c r="B14" s="485" t="s">
        <v>891</v>
      </c>
      <c r="C14" s="485" t="s">
        <v>892</v>
      </c>
      <c r="D14" s="485" t="s">
        <v>793</v>
      </c>
      <c r="E14" s="485" t="s">
        <v>793</v>
      </c>
      <c r="F14" s="485" t="s">
        <v>794</v>
      </c>
      <c r="G14" s="485" t="s">
        <v>893</v>
      </c>
      <c r="H14" s="485" t="s">
        <v>894</v>
      </c>
      <c r="I14" s="485" t="s">
        <v>895</v>
      </c>
      <c r="J14" s="485" t="s">
        <v>896</v>
      </c>
      <c r="K14" s="485" t="s">
        <v>897</v>
      </c>
      <c r="L14" s="485" t="s">
        <v>898</v>
      </c>
      <c r="M14" s="485" t="s">
        <v>828</v>
      </c>
      <c r="N14" s="485" t="s">
        <v>819</v>
      </c>
      <c r="O14" s="485" t="s">
        <v>819</v>
      </c>
    </row>
    <row r="15" spans="1:15" ht="42">
      <c r="A15" s="485" t="s">
        <v>790</v>
      </c>
      <c r="B15" s="485" t="s">
        <v>891</v>
      </c>
      <c r="C15" s="485" t="s">
        <v>892</v>
      </c>
      <c r="D15" s="485" t="s">
        <v>793</v>
      </c>
      <c r="E15" s="485" t="s">
        <v>899</v>
      </c>
      <c r="F15" s="485" t="s">
        <v>794</v>
      </c>
      <c r="G15" s="485" t="s">
        <v>900</v>
      </c>
      <c r="H15" s="485" t="s">
        <v>901</v>
      </c>
      <c r="I15" s="485" t="s">
        <v>902</v>
      </c>
      <c r="J15" s="485" t="s">
        <v>903</v>
      </c>
      <c r="K15" s="485" t="s">
        <v>904</v>
      </c>
      <c r="L15" s="485" t="s">
        <v>905</v>
      </c>
      <c r="M15" s="485" t="s">
        <v>828</v>
      </c>
      <c r="N15" s="485" t="s">
        <v>819</v>
      </c>
      <c r="O15" s="485" t="s">
        <v>819</v>
      </c>
    </row>
    <row r="16" spans="1:15" ht="42">
      <c r="A16" s="485" t="s">
        <v>790</v>
      </c>
      <c r="B16" s="485" t="s">
        <v>891</v>
      </c>
      <c r="C16" s="485" t="s">
        <v>892</v>
      </c>
      <c r="D16" s="485" t="s">
        <v>793</v>
      </c>
      <c r="E16" s="485" t="s">
        <v>906</v>
      </c>
      <c r="F16" s="485" t="s">
        <v>794</v>
      </c>
      <c r="G16" s="485" t="s">
        <v>907</v>
      </c>
      <c r="H16" s="485" t="s">
        <v>908</v>
      </c>
      <c r="I16" s="485" t="s">
        <v>909</v>
      </c>
      <c r="J16" s="485" t="s">
        <v>910</v>
      </c>
      <c r="K16" s="485" t="s">
        <v>911</v>
      </c>
      <c r="L16" s="485" t="s">
        <v>912</v>
      </c>
      <c r="M16" s="485" t="s">
        <v>828</v>
      </c>
      <c r="N16" s="485" t="s">
        <v>810</v>
      </c>
      <c r="O16" s="485" t="s">
        <v>819</v>
      </c>
    </row>
    <row r="17" spans="1:15" ht="42">
      <c r="A17" s="485" t="s">
        <v>790</v>
      </c>
      <c r="B17" s="485" t="s">
        <v>913</v>
      </c>
      <c r="C17" s="485" t="s">
        <v>914</v>
      </c>
      <c r="D17" s="485" t="s">
        <v>793</v>
      </c>
      <c r="E17" s="485" t="s">
        <v>793</v>
      </c>
      <c r="F17" s="485" t="s">
        <v>794</v>
      </c>
      <c r="G17" s="485" t="s">
        <v>915</v>
      </c>
      <c r="H17" s="485" t="s">
        <v>916</v>
      </c>
      <c r="I17" s="485" t="s">
        <v>917</v>
      </c>
      <c r="J17" s="485" t="s">
        <v>918</v>
      </c>
      <c r="K17" s="485" t="s">
        <v>919</v>
      </c>
      <c r="L17" s="485" t="s">
        <v>920</v>
      </c>
      <c r="M17" s="485" t="s">
        <v>819</v>
      </c>
      <c r="N17" s="485" t="s">
        <v>921</v>
      </c>
      <c r="O17" s="485" t="s">
        <v>921</v>
      </c>
    </row>
    <row r="18" spans="1:15" ht="56">
      <c r="A18" s="485" t="s">
        <v>790</v>
      </c>
      <c r="B18" s="485" t="s">
        <v>922</v>
      </c>
      <c r="C18" s="485" t="s">
        <v>923</v>
      </c>
      <c r="D18" s="485" t="s">
        <v>793</v>
      </c>
      <c r="E18" s="485" t="s">
        <v>793</v>
      </c>
      <c r="F18" s="485" t="s">
        <v>794</v>
      </c>
      <c r="G18" s="485" t="s">
        <v>924</v>
      </c>
      <c r="H18" s="485" t="s">
        <v>925</v>
      </c>
      <c r="I18" s="485" t="s">
        <v>926</v>
      </c>
      <c r="J18" s="485" t="s">
        <v>927</v>
      </c>
      <c r="K18" s="485" t="s">
        <v>928</v>
      </c>
      <c r="L18" s="485" t="s">
        <v>929</v>
      </c>
      <c r="M18" s="485" t="s">
        <v>801</v>
      </c>
      <c r="N18" s="485" t="s">
        <v>828</v>
      </c>
      <c r="O18" s="485" t="s">
        <v>828</v>
      </c>
    </row>
    <row r="19" spans="1:15">
      <c r="A19" s="485" t="s">
        <v>790</v>
      </c>
      <c r="B19" s="485" t="s">
        <v>930</v>
      </c>
      <c r="C19" s="485" t="s">
        <v>931</v>
      </c>
      <c r="D19" s="485" t="s">
        <v>793</v>
      </c>
      <c r="E19" s="485" t="s">
        <v>793</v>
      </c>
      <c r="F19" s="485" t="s">
        <v>794</v>
      </c>
      <c r="G19" s="485" t="s">
        <v>932</v>
      </c>
      <c r="H19" s="485" t="s">
        <v>933</v>
      </c>
      <c r="I19" s="485" t="s">
        <v>934</v>
      </c>
      <c r="J19" s="485" t="s">
        <v>935</v>
      </c>
      <c r="K19" s="485" t="s">
        <v>936</v>
      </c>
      <c r="L19" s="485" t="s">
        <v>937</v>
      </c>
      <c r="M19" s="485" t="s">
        <v>801</v>
      </c>
      <c r="N19" s="485" t="s">
        <v>801</v>
      </c>
      <c r="O19" s="485" t="s">
        <v>819</v>
      </c>
    </row>
    <row r="20" spans="1:15" ht="28">
      <c r="A20" s="485" t="s">
        <v>790</v>
      </c>
      <c r="B20" s="485" t="s">
        <v>930</v>
      </c>
      <c r="C20" s="485" t="s">
        <v>931</v>
      </c>
      <c r="D20" s="485" t="s">
        <v>793</v>
      </c>
      <c r="E20" s="485" t="s">
        <v>899</v>
      </c>
      <c r="F20" s="485" t="s">
        <v>794</v>
      </c>
      <c r="G20" s="485" t="s">
        <v>938</v>
      </c>
      <c r="H20" s="485" t="s">
        <v>939</v>
      </c>
      <c r="I20" s="485" t="s">
        <v>940</v>
      </c>
      <c r="J20" s="485" t="s">
        <v>941</v>
      </c>
      <c r="K20" s="485" t="s">
        <v>942</v>
      </c>
      <c r="L20" s="485" t="s">
        <v>943</v>
      </c>
      <c r="M20" s="485" t="s">
        <v>801</v>
      </c>
      <c r="N20" s="485" t="s">
        <v>801</v>
      </c>
      <c r="O20" s="485" t="s">
        <v>819</v>
      </c>
    </row>
    <row r="21" spans="1:15" ht="42">
      <c r="A21" s="485" t="s">
        <v>790</v>
      </c>
      <c r="B21" s="485" t="s">
        <v>930</v>
      </c>
      <c r="C21" s="485" t="s">
        <v>931</v>
      </c>
      <c r="D21" s="485" t="s">
        <v>793</v>
      </c>
      <c r="E21" s="485" t="s">
        <v>906</v>
      </c>
      <c r="F21" s="485" t="s">
        <v>794</v>
      </c>
      <c r="G21" s="485" t="s">
        <v>944</v>
      </c>
      <c r="H21" s="485" t="s">
        <v>945</v>
      </c>
      <c r="I21" s="485" t="s">
        <v>946</v>
      </c>
      <c r="J21" s="485" t="s">
        <v>947</v>
      </c>
      <c r="K21" s="485" t="s">
        <v>948</v>
      </c>
      <c r="L21" s="485" t="s">
        <v>949</v>
      </c>
      <c r="M21" s="485" t="s">
        <v>801</v>
      </c>
      <c r="N21" s="485" t="s">
        <v>810</v>
      </c>
      <c r="O21" s="485" t="s">
        <v>801</v>
      </c>
    </row>
    <row r="22" spans="1:15" ht="28">
      <c r="A22" s="485" t="s">
        <v>790</v>
      </c>
      <c r="B22" s="485" t="s">
        <v>950</v>
      </c>
      <c r="C22" s="485" t="s">
        <v>951</v>
      </c>
      <c r="D22" s="485" t="s">
        <v>793</v>
      </c>
      <c r="E22" s="485" t="s">
        <v>793</v>
      </c>
      <c r="F22" s="485" t="s">
        <v>794</v>
      </c>
      <c r="G22" s="485" t="s">
        <v>952</v>
      </c>
      <c r="H22" s="485" t="s">
        <v>953</v>
      </c>
      <c r="I22" s="485" t="s">
        <v>954</v>
      </c>
      <c r="J22" s="485" t="s">
        <v>955</v>
      </c>
      <c r="K22" s="485" t="s">
        <v>956</v>
      </c>
      <c r="L22" s="485" t="s">
        <v>957</v>
      </c>
      <c r="M22" s="485" t="s">
        <v>819</v>
      </c>
      <c r="N22" s="485" t="s">
        <v>801</v>
      </c>
      <c r="O22" s="485" t="s">
        <v>801</v>
      </c>
    </row>
    <row r="23" spans="1:15" ht="28">
      <c r="A23" s="485" t="s">
        <v>790</v>
      </c>
      <c r="B23" s="485" t="s">
        <v>950</v>
      </c>
      <c r="C23" s="485" t="s">
        <v>951</v>
      </c>
      <c r="D23" s="485" t="s">
        <v>793</v>
      </c>
      <c r="E23" s="485" t="s">
        <v>899</v>
      </c>
      <c r="F23" s="485" t="s">
        <v>794</v>
      </c>
      <c r="G23" s="485" t="s">
        <v>958</v>
      </c>
      <c r="H23" s="485" t="s">
        <v>959</v>
      </c>
      <c r="I23" s="485" t="s">
        <v>960</v>
      </c>
      <c r="J23" s="485" t="s">
        <v>961</v>
      </c>
      <c r="K23" s="485" t="s">
        <v>962</v>
      </c>
      <c r="L23" s="485" t="s">
        <v>963</v>
      </c>
      <c r="M23" s="485" t="s">
        <v>801</v>
      </c>
      <c r="N23" s="485" t="s">
        <v>801</v>
      </c>
      <c r="O23" s="485" t="s">
        <v>801</v>
      </c>
    </row>
    <row r="24" spans="1:15" ht="42">
      <c r="A24" s="485" t="s">
        <v>790</v>
      </c>
      <c r="B24" s="485" t="s">
        <v>950</v>
      </c>
      <c r="C24" s="485" t="s">
        <v>951</v>
      </c>
      <c r="D24" s="485" t="s">
        <v>793</v>
      </c>
      <c r="E24" s="485" t="s">
        <v>906</v>
      </c>
      <c r="F24" s="485" t="s">
        <v>794</v>
      </c>
      <c r="G24" s="485" t="s">
        <v>964</v>
      </c>
      <c r="H24" s="485" t="s">
        <v>965</v>
      </c>
      <c r="I24" s="485" t="s">
        <v>966</v>
      </c>
      <c r="J24" s="485" t="s">
        <v>967</v>
      </c>
      <c r="K24" s="485" t="s">
        <v>968</v>
      </c>
      <c r="L24" s="485" t="s">
        <v>969</v>
      </c>
      <c r="M24" s="485" t="s">
        <v>819</v>
      </c>
      <c r="N24" s="485" t="s">
        <v>801</v>
      </c>
      <c r="O24" s="485" t="s">
        <v>819</v>
      </c>
    </row>
    <row r="25" spans="1:15" ht="28">
      <c r="A25" s="485" t="s">
        <v>790</v>
      </c>
      <c r="B25" s="485" t="s">
        <v>970</v>
      </c>
      <c r="C25" s="485" t="s">
        <v>971</v>
      </c>
      <c r="D25" s="485" t="s">
        <v>793</v>
      </c>
      <c r="E25" s="485" t="s">
        <v>793</v>
      </c>
      <c r="F25" s="485" t="s">
        <v>794</v>
      </c>
      <c r="G25" s="485" t="s">
        <v>972</v>
      </c>
      <c r="H25" s="485" t="s">
        <v>973</v>
      </c>
      <c r="I25" s="485" t="s">
        <v>974</v>
      </c>
      <c r="J25" s="485" t="s">
        <v>975</v>
      </c>
      <c r="K25" s="485" t="s">
        <v>976</v>
      </c>
      <c r="L25" s="485" t="s">
        <v>977</v>
      </c>
      <c r="M25" s="485" t="s">
        <v>810</v>
      </c>
      <c r="N25" s="485" t="s">
        <v>801</v>
      </c>
      <c r="O25" s="485" t="s">
        <v>801</v>
      </c>
    </row>
    <row r="26" spans="1:15" ht="28">
      <c r="A26" s="485" t="s">
        <v>790</v>
      </c>
      <c r="B26" s="485" t="s">
        <v>970</v>
      </c>
      <c r="C26" s="485" t="s">
        <v>971</v>
      </c>
      <c r="D26" s="485" t="s">
        <v>793</v>
      </c>
      <c r="E26" s="485" t="s">
        <v>899</v>
      </c>
      <c r="F26" s="485" t="s">
        <v>794</v>
      </c>
      <c r="G26" s="485" t="s">
        <v>978</v>
      </c>
      <c r="H26" s="485" t="s">
        <v>979</v>
      </c>
      <c r="I26" s="485" t="s">
        <v>980</v>
      </c>
      <c r="J26" s="485" t="s">
        <v>981</v>
      </c>
      <c r="K26" s="485" t="s">
        <v>982</v>
      </c>
      <c r="L26" s="485" t="s">
        <v>983</v>
      </c>
      <c r="M26" s="485" t="s">
        <v>810</v>
      </c>
      <c r="N26" s="485" t="s">
        <v>801</v>
      </c>
      <c r="O26" s="485" t="s">
        <v>801</v>
      </c>
    </row>
    <row r="27" spans="1:15" ht="42">
      <c r="A27" s="485" t="s">
        <v>790</v>
      </c>
      <c r="B27" s="485" t="s">
        <v>970</v>
      </c>
      <c r="C27" s="485" t="s">
        <v>971</v>
      </c>
      <c r="D27" s="485" t="s">
        <v>793</v>
      </c>
      <c r="E27" s="485" t="s">
        <v>906</v>
      </c>
      <c r="F27" s="485" t="s">
        <v>794</v>
      </c>
      <c r="G27" s="485" t="s">
        <v>984</v>
      </c>
      <c r="H27" s="485" t="s">
        <v>985</v>
      </c>
      <c r="I27" s="485" t="s">
        <v>986</v>
      </c>
      <c r="J27" s="485" t="s">
        <v>987</v>
      </c>
      <c r="K27" s="485" t="s">
        <v>988</v>
      </c>
      <c r="L27" s="485" t="s">
        <v>989</v>
      </c>
      <c r="M27" s="485" t="s">
        <v>810</v>
      </c>
      <c r="N27" s="485" t="s">
        <v>810</v>
      </c>
      <c r="O27" s="485" t="s">
        <v>810</v>
      </c>
    </row>
    <row r="28" spans="1:15" ht="28">
      <c r="A28" s="485" t="s">
        <v>790</v>
      </c>
      <c r="B28" s="485" t="s">
        <v>990</v>
      </c>
      <c r="C28" s="485" t="s">
        <v>991</v>
      </c>
      <c r="D28" s="485" t="s">
        <v>793</v>
      </c>
      <c r="E28" s="485" t="s">
        <v>793</v>
      </c>
      <c r="F28" s="485" t="s">
        <v>794</v>
      </c>
      <c r="G28" s="485" t="s">
        <v>992</v>
      </c>
      <c r="H28" s="485" t="s">
        <v>993</v>
      </c>
      <c r="I28" s="485" t="s">
        <v>994</v>
      </c>
      <c r="J28" s="485" t="s">
        <v>995</v>
      </c>
      <c r="K28" s="485" t="s">
        <v>996</v>
      </c>
      <c r="L28" s="485" t="s">
        <v>997</v>
      </c>
      <c r="M28" s="485" t="s">
        <v>819</v>
      </c>
      <c r="N28" s="485" t="s">
        <v>801</v>
      </c>
      <c r="O28" s="485" t="s">
        <v>801</v>
      </c>
    </row>
    <row r="29" spans="1:15" ht="28">
      <c r="A29" s="485" t="s">
        <v>790</v>
      </c>
      <c r="B29" s="485" t="s">
        <v>998</v>
      </c>
      <c r="C29" s="485" t="s">
        <v>999</v>
      </c>
      <c r="D29" s="485" t="s">
        <v>793</v>
      </c>
      <c r="E29" s="485" t="s">
        <v>793</v>
      </c>
      <c r="F29" s="485" t="s">
        <v>794</v>
      </c>
      <c r="G29" s="485" t="s">
        <v>1000</v>
      </c>
      <c r="H29" s="485" t="s">
        <v>1001</v>
      </c>
      <c r="I29" s="485" t="s">
        <v>1002</v>
      </c>
      <c r="J29" s="485" t="s">
        <v>1003</v>
      </c>
      <c r="K29" s="485" t="s">
        <v>1004</v>
      </c>
      <c r="L29" s="485" t="s">
        <v>1005</v>
      </c>
      <c r="M29" s="485" t="s">
        <v>801</v>
      </c>
      <c r="N29" s="485" t="s">
        <v>801</v>
      </c>
      <c r="O29" s="485" t="s">
        <v>801</v>
      </c>
    </row>
    <row r="30" spans="1:15" ht="28">
      <c r="A30" s="485" t="s">
        <v>790</v>
      </c>
      <c r="B30" s="485" t="s">
        <v>998</v>
      </c>
      <c r="C30" s="485" t="s">
        <v>999</v>
      </c>
      <c r="D30" s="485" t="s">
        <v>793</v>
      </c>
      <c r="E30" s="485" t="s">
        <v>899</v>
      </c>
      <c r="F30" s="485" t="s">
        <v>794</v>
      </c>
      <c r="G30" s="485" t="s">
        <v>1006</v>
      </c>
      <c r="H30" s="485" t="s">
        <v>1007</v>
      </c>
      <c r="I30" s="485" t="s">
        <v>1008</v>
      </c>
      <c r="J30" s="485" t="s">
        <v>1009</v>
      </c>
      <c r="K30" s="485" t="s">
        <v>1010</v>
      </c>
      <c r="L30" s="485" t="s">
        <v>1011</v>
      </c>
      <c r="M30" s="485" t="s">
        <v>801</v>
      </c>
      <c r="N30" s="485" t="s">
        <v>801</v>
      </c>
      <c r="O30" s="485" t="s">
        <v>801</v>
      </c>
    </row>
    <row r="31" spans="1:15" ht="42">
      <c r="A31" s="485" t="s">
        <v>790</v>
      </c>
      <c r="B31" s="485" t="s">
        <v>998</v>
      </c>
      <c r="C31" s="485" t="s">
        <v>999</v>
      </c>
      <c r="D31" s="485" t="s">
        <v>793</v>
      </c>
      <c r="E31" s="485" t="s">
        <v>906</v>
      </c>
      <c r="F31" s="485" t="s">
        <v>794</v>
      </c>
      <c r="G31" s="485" t="s">
        <v>1012</v>
      </c>
      <c r="H31" s="485" t="s">
        <v>1013</v>
      </c>
      <c r="I31" s="485" t="s">
        <v>1014</v>
      </c>
      <c r="J31" s="485" t="s">
        <v>1015</v>
      </c>
      <c r="K31" s="485" t="s">
        <v>1016</v>
      </c>
      <c r="L31" s="485" t="s">
        <v>1017</v>
      </c>
      <c r="M31" s="485" t="s">
        <v>801</v>
      </c>
      <c r="N31" s="485" t="s">
        <v>810</v>
      </c>
      <c r="O31" s="485" t="s">
        <v>801</v>
      </c>
    </row>
    <row r="33" spans="1:10" ht="14.5">
      <c r="A33" s="485" t="s">
        <v>1018</v>
      </c>
      <c r="H33" s="485" t="s">
        <v>98</v>
      </c>
      <c r="I33" s="486">
        <f>SUM(I2+I4+I5+I6+I9+I10+I13+I14+I17+I18+I19+I22+I25+I28+I29)</f>
        <v>3793267020</v>
      </c>
      <c r="J33" s="486">
        <f>SUM(J2+J4+J5+J6+J9+J10+J13+J14+J17+J18+J19+J22+J25+J28+J29)</f>
        <v>731817252</v>
      </c>
    </row>
    <row r="34" spans="1:10">
      <c r="H34" s="485" t="s">
        <v>1019</v>
      </c>
      <c r="I34" s="487">
        <f>I33-I22</f>
        <v>3481954864</v>
      </c>
    </row>
    <row r="35" spans="1:10" ht="42.5">
      <c r="A35" s="485" t="s">
        <v>1020</v>
      </c>
      <c r="H35" s="485" t="s">
        <v>1021</v>
      </c>
      <c r="I35" s="486">
        <f>I13+I14+I17+I18+I25+I29</f>
        <v>685756163</v>
      </c>
    </row>
    <row r="36" spans="1:10" ht="14.5">
      <c r="I36" s="486"/>
    </row>
    <row r="37" spans="1:10" ht="14.5">
      <c r="I37" s="486"/>
    </row>
    <row r="38" spans="1:10" ht="14.5">
      <c r="I38" s="4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UF_Scenario_Key</vt:lpstr>
      <vt:lpstr>Output_1</vt:lpstr>
      <vt:lpstr>Output_2</vt:lpstr>
      <vt:lpstr>Output_3</vt:lpstr>
      <vt:lpstr>Output_4</vt:lpstr>
      <vt:lpstr>Baseline</vt:lpstr>
      <vt:lpstr>UF_Assumptions_1</vt:lpstr>
      <vt:lpstr>UF_Assumptions_2</vt:lpstr>
      <vt:lpstr>UF_Assumptions_3</vt:lpstr>
      <vt:lpstr>UF_Assumptions_4</vt:lpstr>
      <vt:lpstr>UF_Calculations_1</vt:lpstr>
      <vt:lpstr>UF_Calculations_2</vt:lpstr>
      <vt:lpstr>UF_Calculations_3</vt:lpstr>
      <vt:lpstr>UF_Calculations_4</vt:lpstr>
      <vt:lpstr>UF_Calculations_5</vt:lpstr>
      <vt:lpstr>UF_Calculations_6</vt:lpstr>
      <vt:lpstr>UF_Calculations_7</vt:lpstr>
      <vt:lpstr>UF_Calculations_8</vt:lpstr>
      <vt:lpstr>UF_Calculations_9</vt:lpstr>
      <vt:lpstr>UF_Calculations_10</vt:lpstr>
      <vt:lpstr>Input_Medi-Cal</vt:lpstr>
      <vt:lpstr>Input_ESI premiums</vt:lpstr>
      <vt:lpstr>Input_GDP</vt:lpstr>
      <vt:lpstr>Input_CMS_1</vt:lpstr>
      <vt:lpstr>Input_CMS_2</vt:lpstr>
      <vt:lpstr>Input_CMS_3</vt:lpstr>
      <vt:lpstr>Input_CMS_4</vt:lpstr>
      <vt:lpstr>Input_CMS_5</vt:lpstr>
      <vt:lpstr>Input_CMS_6</vt:lpstr>
      <vt:lpstr>Input_FTB_Corporate</vt:lpstr>
      <vt:lpstr>Input_FTB_Personal_Income</vt:lpstr>
      <vt:lpstr>Input_Economic_Census</vt:lpstr>
      <vt:lpstr>Input_CMS_1!Print_Area</vt:lpstr>
      <vt:lpstr>Input_CMS_3!Print_Area</vt:lpstr>
      <vt:lpstr>Input_CMS_4!Print_Area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Laurel Lucia</dc:creator>
  <cp:lastModifiedBy>Laurel Lucia</cp:lastModifiedBy>
  <dcterms:created xsi:type="dcterms:W3CDTF">2021-02-10T22:30:51Z</dcterms:created>
  <dcterms:modified xsi:type="dcterms:W3CDTF">2022-05-17T22:27:25Z</dcterms:modified>
</cp:coreProperties>
</file>